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_xmlsignatures/sig4.xml" ContentType="application/vnd.openxmlformats-package.digital-signature-xmlsignatur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_xmlsignatures/sig1.xml" ContentType="application/vnd.openxmlformats-package.digital-signature-xmlsignature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5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1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useppe\Downloads\"/>
    </mc:Choice>
  </mc:AlternateContent>
  <xr:revisionPtr revIDLastSave="0" documentId="8_{A1F73D91-8E49-422F-B92A-962C4B8E46F1}" xr6:coauthVersionLast="47" xr6:coauthVersionMax="47" xr10:uidLastSave="{00000000-0000-0000-0000-000000000000}"/>
  <workbookProtection workbookAlgorithmName="SHA-512" workbookHashValue="kgQ+oCJUjCZh8z7RjFMNzUBtBTHH0iY/HBbLeXwnHRZfTnZwotxWIUcSLlqDVxqWNQ2LApenRdbPWe9+qSE3Qg==" workbookSaltValue="9+ODuMHUzS8LQBgSCy5Uvg==" workbookSpinCount="100000" lockStructure="1"/>
  <bookViews>
    <workbookView xWindow="-120" yWindow="-120" windowWidth="29040" windowHeight="15840" tabRatio="870" firstSheet="2" activeTab="3" xr2:uid="{00000000-000D-0000-FFFF-FFFF00000000}"/>
  </bookViews>
  <sheets>
    <sheet name="Balance Gral 2022" sheetId="42" state="hidden" r:id="rId1"/>
    <sheet name="EERR al 2022" sheetId="43" state="hidden" r:id="rId2"/>
    <sheet name="INDICE" sheetId="33" r:id="rId3"/>
    <sheet name="INFORMAC GRAL DE LA EMP" sheetId="45" r:id="rId4"/>
    <sheet name="BALANCE GRAL 31 12 22" sheetId="1" r:id="rId5"/>
    <sheet name="ESTADOS DE RESULTADOS 31 12 22" sheetId="2" r:id="rId6"/>
    <sheet name="Flujo de TP Calculo DIC" sheetId="46" state="hidden" r:id="rId7"/>
    <sheet name="FLUJO DE EFECTIVO 31 12 22" sheetId="34" r:id="rId8"/>
    <sheet name="ESTADO DE VARIAC PN 31 12 22" sheetId="35" r:id="rId9"/>
    <sheet name="NOTAS A LOS ESTADOS CONTA. 1-4" sheetId="36" r:id="rId10"/>
    <sheet name="NOTA 5 A-C CRITERIOS ESPECIF." sheetId="37" r:id="rId11"/>
    <sheet name="NOTA D - DISPONIBILIDADES" sheetId="7" r:id="rId12"/>
    <sheet name="NOTA E - INVERSIONES" sheetId="44" r:id="rId13"/>
    <sheet name="NOTA F - CREDITOS" sheetId="41" r:id="rId14"/>
    <sheet name="NOTA G BIENES DE USO" sheetId="11" r:id="rId15"/>
    <sheet name="NOTA H CARGOS DIFERIDOS" sheetId="13" r:id="rId16"/>
    <sheet name=" NOTA I INTANGIBLES" sheetId="14" r:id="rId17"/>
    <sheet name="NOTA J OTROS ACTIVOS CTES y NO " sheetId="15" r:id="rId18"/>
    <sheet name="NOTA K PRESTAMOS" sheetId="17" r:id="rId19"/>
    <sheet name="NOTA L ACREED VARIOS" sheetId="18" r:id="rId20"/>
    <sheet name="NOTAS M-Q ACREED y CTAS A PAG" sheetId="16" r:id="rId21"/>
    <sheet name="NOTA R SALDOS Y TRANSACC" sheetId="19" r:id="rId22"/>
    <sheet name="NOTA S RESULTADOS CON PERS" sheetId="21" r:id="rId23"/>
    <sheet name=" NOTA T PATRIMONIO Y PREVIS" sheetId="22" r:id="rId24"/>
    <sheet name="NOTA V INGRESOS OPERATIVOS" sheetId="23" r:id="rId25"/>
    <sheet name="NOTA W OTROS GASTOS OPER" sheetId="24" r:id="rId26"/>
    <sheet name="NOTA X OTROS INGRESOS Y EGR" sheetId="25" r:id="rId27"/>
    <sheet name="NOTA Y RESULTADOS FINANC" sheetId="27" r:id="rId28"/>
    <sheet name="NOTA Z RESULT EXTRA" sheetId="28" r:id="rId29"/>
    <sheet name="NOTA 6 11 INFORMACIONES" sheetId="2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5" hidden="1">'ESTADOS DE RESULTADOS 31 12 22'!$C$48:$J$78</definedName>
    <definedName name="_xlnm._FilterDatabase" localSheetId="11" hidden="1">'NOTA D - DISPONIBILIDADES'!$B$7:$D$20</definedName>
    <definedName name="_xlnm._FilterDatabase" localSheetId="12" hidden="1">'NOTA E - INVERSIONES'!$C$7:$G$38</definedName>
    <definedName name="_xlnm._FilterDatabase" localSheetId="21" hidden="1">'NOTA R SALDOS Y TRANSACC'!$B$8:$F$19</definedName>
    <definedName name="_MON_1268749014" localSheetId="10">#N/A</definedName>
    <definedName name="a" localSheetId="0">#REF!</definedName>
    <definedName name="a" localSheetId="1">#REF!</definedName>
    <definedName name="a" localSheetId="8">#N/A</definedName>
    <definedName name="a" localSheetId="7">#N/A</definedName>
    <definedName name="a" localSheetId="6">#REF!</definedName>
    <definedName name="a" localSheetId="10">#N/A</definedName>
    <definedName name="a" localSheetId="9">#N/A</definedName>
    <definedName name="a">#N/A</definedName>
    <definedName name="aa" localSheetId="0">#REF!</definedName>
    <definedName name="aa" localSheetId="1">#REF!</definedName>
    <definedName name="aa" localSheetId="8">#N/A</definedName>
    <definedName name="aa" localSheetId="7">#N/A</definedName>
    <definedName name="aa" localSheetId="6">#REF!</definedName>
    <definedName name="aa" localSheetId="10">#N/A</definedName>
    <definedName name="aa" localSheetId="9">#N/A</definedName>
    <definedName name="aa">#N/A</definedName>
    <definedName name="_xlnm.Print_Area" localSheetId="6">'Flujo de TP Calculo DIC'!$A$63:$E$95</definedName>
    <definedName name="_xlnm.Print_Area" localSheetId="25">#N/A</definedName>
    <definedName name="Broker">#REF!</definedName>
    <definedName name="BuiltIn_Print_Area" localSheetId="0">[1]anexos!#REF!</definedName>
    <definedName name="BuiltIn_Print_Area" localSheetId="1">[1]anexos!#REF!</definedName>
    <definedName name="BuiltIn_Print_Area" localSheetId="6">[1]anexos!#REF!</definedName>
    <definedName name="BuiltIn_Print_Area" localSheetId="3">[2]anexos!#REF!</definedName>
    <definedName name="BuiltIn_Print_Area" localSheetId="12">[2]anexos!#REF!</definedName>
    <definedName name="BuiltIn_Print_Area" localSheetId="13">[2]anexos!#REF!</definedName>
    <definedName name="BuiltIn_Print_Area">[2]anexos!#REF!</definedName>
    <definedName name="BuiltIn_Print_Area___0" localSheetId="0">'[1]Balance General Resol 950'!#REF!</definedName>
    <definedName name="BuiltIn_Print_Area___0" localSheetId="1">'[1]Balance General Resol 950'!#REF!</definedName>
    <definedName name="BuiltIn_Print_Area___0" localSheetId="6">'[1]Balance General Resol 950'!#REF!</definedName>
    <definedName name="BuiltIn_Print_Area___0" localSheetId="3">'[2]Balance General Resol 950'!#REF!</definedName>
    <definedName name="BuiltIn_Print_Area___0" localSheetId="12">'[2]Balance General Resol 950'!#REF!</definedName>
    <definedName name="BuiltIn_Print_Area___0" localSheetId="13">'[2]Balance General Resol 950'!#REF!</definedName>
    <definedName name="BuiltIn_Print_Area___0">'[2]Balance General Resol 950'!#REF!</definedName>
    <definedName name="BuiltIn_Print_Area___0___0" localSheetId="8">#N/A</definedName>
    <definedName name="BuiltIn_Print_Area___0___0" localSheetId="7">#N/A</definedName>
    <definedName name="BuiltIn_Print_Area___0___0" localSheetId="6">#REF!</definedName>
    <definedName name="BuiltIn_Print_Area___0___0" localSheetId="10">#N/A</definedName>
    <definedName name="BuiltIn_Print_Area___0___0" localSheetId="9">#N/A</definedName>
    <definedName name="BuiltIn_Print_Area___0___0">#N/A</definedName>
    <definedName name="BuiltIn_Print_Area___0___0___0___0" localSheetId="6">'[3]Flujos de efectivo'!#REF!</definedName>
    <definedName name="BuiltIn_Print_Area___0___0___0___0" localSheetId="3">'[4]Flujos de efectivo'!#REF!</definedName>
    <definedName name="BuiltIn_Print_Area___0___0___0___0" localSheetId="12">'[4]Flujos de efectivo'!#REF!</definedName>
    <definedName name="BuiltIn_Print_Area___0___0___0___0" localSheetId="13">'[4]Flujos de efectivo'!#REF!</definedName>
    <definedName name="BuiltIn_Print_Area___0___0___0___0">'[4]Flujos de efectivo'!#REF!</definedName>
    <definedName name="BuiltIn_Print_Area___0___0___0___0___0" localSheetId="8">#N/A</definedName>
    <definedName name="BuiltIn_Print_Area___0___0___0___0___0" localSheetId="7">#N/A</definedName>
    <definedName name="BuiltIn_Print_Area___0___0___0___0___0" localSheetId="6">#REF!</definedName>
    <definedName name="BuiltIn_Print_Area___0___0___0___0___0" localSheetId="10">#N/A</definedName>
    <definedName name="BuiltIn_Print_Area___0___0___0___0___0" localSheetId="9">#N/A</definedName>
    <definedName name="BuiltIn_Print_Area___0___0___0___0___0">#N/A</definedName>
    <definedName name="Clientes" localSheetId="0">#REF!</definedName>
    <definedName name="Clientes" localSheetId="1">#REF!</definedName>
    <definedName name="Clientes" localSheetId="8">#N/A</definedName>
    <definedName name="Clientes" localSheetId="7">#N/A</definedName>
    <definedName name="Clientes" localSheetId="6">#REF!</definedName>
    <definedName name="Clientes" localSheetId="10">#N/A</definedName>
    <definedName name="Clientes" localSheetId="9">#N/A</definedName>
    <definedName name="Clientes">#N/A</definedName>
    <definedName name="DATA16" localSheetId="0">#REF!</definedName>
    <definedName name="DATA16" localSheetId="1">#REF!</definedName>
    <definedName name="DATA16" localSheetId="8">#N/A</definedName>
    <definedName name="DATA16" localSheetId="7">#N/A</definedName>
    <definedName name="DATA16" localSheetId="6">#REF!</definedName>
    <definedName name="DATA16" localSheetId="10">#N/A</definedName>
    <definedName name="DATA16" localSheetId="9">#N/A</definedName>
    <definedName name="DATA16">#N/A</definedName>
    <definedName name="DATA17" localSheetId="0">#REF!</definedName>
    <definedName name="DATA17" localSheetId="1">#REF!</definedName>
    <definedName name="DATA17" localSheetId="8">#N/A</definedName>
    <definedName name="DATA17" localSheetId="7">#N/A</definedName>
    <definedName name="DATA17" localSheetId="6">#REF!</definedName>
    <definedName name="DATA17" localSheetId="10">#N/A</definedName>
    <definedName name="DATA17" localSheetId="9">#N/A</definedName>
    <definedName name="DATA17">#N/A</definedName>
    <definedName name="DATA18" localSheetId="0">#REF!</definedName>
    <definedName name="DATA18" localSheetId="1">#REF!</definedName>
    <definedName name="DATA18" localSheetId="8">#N/A</definedName>
    <definedName name="DATA18" localSheetId="7">#N/A</definedName>
    <definedName name="DATA18" localSheetId="6">#REF!</definedName>
    <definedName name="DATA18" localSheetId="10">#N/A</definedName>
    <definedName name="DATA18" localSheetId="9">#N/A</definedName>
    <definedName name="DATA18">#N/A</definedName>
    <definedName name="DATA20" localSheetId="0">#REF!</definedName>
    <definedName name="DATA20" localSheetId="1">#REF!</definedName>
    <definedName name="DATA20" localSheetId="8">#N/A</definedName>
    <definedName name="DATA20" localSheetId="7">#N/A</definedName>
    <definedName name="DATA20" localSheetId="6">#REF!</definedName>
    <definedName name="DATA20" localSheetId="10">#N/A</definedName>
    <definedName name="DATA20" localSheetId="9">#N/A</definedName>
    <definedName name="DATA20">#N/A</definedName>
    <definedName name="datos" localSheetId="0">#REF!</definedName>
    <definedName name="datos" localSheetId="1">#REF!</definedName>
    <definedName name="datos" localSheetId="8">#N/A</definedName>
    <definedName name="datos" localSheetId="7">#N/A</definedName>
    <definedName name="datos" localSheetId="6">#REF!</definedName>
    <definedName name="datos" localSheetId="10">#N/A</definedName>
    <definedName name="datos" localSheetId="9">#N/A</definedName>
    <definedName name="datos">#N/A</definedName>
    <definedName name="de">[5]anexos!#REF!</definedName>
    <definedName name="Enero">#REF!</definedName>
    <definedName name="k" localSheetId="0">#REF!</definedName>
    <definedName name="k" localSheetId="1">#REF!</definedName>
    <definedName name="k" localSheetId="8">#N/A</definedName>
    <definedName name="k" localSheetId="7">#N/A</definedName>
    <definedName name="k" localSheetId="6">#REF!</definedName>
    <definedName name="k" localSheetId="10">#N/A</definedName>
    <definedName name="k" localSheetId="9">#N/A</definedName>
    <definedName name="k">#N/A</definedName>
    <definedName name="klkl" localSheetId="0">#REF!</definedName>
    <definedName name="klkl" localSheetId="1">#REF!</definedName>
    <definedName name="klkl" localSheetId="8">#N/A</definedName>
    <definedName name="klkl" localSheetId="7">#N/A</definedName>
    <definedName name="klkl" localSheetId="6">#REF!</definedName>
    <definedName name="klkl" localSheetId="10">#N/A</definedName>
    <definedName name="klkl" localSheetId="9">#N/A</definedName>
    <definedName name="klkl">#N/A</definedName>
    <definedName name="klll" localSheetId="0">#REF!</definedName>
    <definedName name="klll" localSheetId="1">#REF!</definedName>
    <definedName name="klll" localSheetId="8">#N/A</definedName>
    <definedName name="klll" localSheetId="7">#N/A</definedName>
    <definedName name="klll" localSheetId="6">#REF!</definedName>
    <definedName name="klll" localSheetId="10">#N/A</definedName>
    <definedName name="klll" localSheetId="9">#N/A</definedName>
    <definedName name="klll">#N/A</definedName>
    <definedName name="Meses">#REF!</definedName>
    <definedName name="Precios">#REF!</definedName>
    <definedName name="ver" localSheetId="0">#REF!</definedName>
    <definedName name="ver" localSheetId="1">#REF!</definedName>
    <definedName name="ver" localSheetId="8">#N/A</definedName>
    <definedName name="ver" localSheetId="7">#N/A</definedName>
    <definedName name="ver" localSheetId="6">#REF!</definedName>
    <definedName name="ver" localSheetId="10">#N/A</definedName>
    <definedName name="ver" localSheetId="9">#N/A</definedName>
    <definedName name="ver">#N/A</definedName>
    <definedName name="verificar" localSheetId="0">#REF!</definedName>
    <definedName name="verificar" localSheetId="1">#REF!</definedName>
    <definedName name="verificar" localSheetId="8">#N/A</definedName>
    <definedName name="verificar" localSheetId="7">#N/A</definedName>
    <definedName name="verificar" localSheetId="6">#REF!</definedName>
    <definedName name="verificar" localSheetId="10">#N/A</definedName>
    <definedName name="verificar" localSheetId="9">#N/A</definedName>
    <definedName name="verificar">#N/A</definedName>
    <definedName name="zz" localSheetId="0">#REF!</definedName>
    <definedName name="zz" localSheetId="1">#REF!</definedName>
    <definedName name="zz" localSheetId="3">#REF!</definedName>
    <definedName name="zz" localSheetId="12">#REF!</definedName>
    <definedName name="zz" localSheetId="13">#REF!</definedName>
    <definedName name="zz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34" l="1"/>
  <c r="D39" i="46"/>
  <c r="B27" i="46"/>
  <c r="E81" i="2"/>
  <c r="I56" i="45"/>
  <c r="H45" i="45"/>
  <c r="E12" i="22"/>
  <c r="C14" i="28"/>
  <c r="C11" i="28"/>
  <c r="C8" i="28"/>
  <c r="C13" i="28"/>
  <c r="C18" i="23"/>
  <c r="F11" i="22"/>
  <c r="G12" i="22"/>
  <c r="C12" i="22"/>
  <c r="C8" i="22"/>
  <c r="D8" i="22"/>
  <c r="F8" i="22"/>
  <c r="F10" i="22"/>
  <c r="F12" i="22"/>
  <c r="D14" i="22"/>
  <c r="G7" i="22"/>
  <c r="F7" i="22"/>
  <c r="C21" i="21"/>
  <c r="D21" i="21"/>
  <c r="C15" i="21"/>
  <c r="G18" i="19"/>
  <c r="G15" i="1"/>
  <c r="G11" i="1"/>
  <c r="D11" i="18"/>
  <c r="D10" i="18"/>
  <c r="D9" i="18"/>
  <c r="D8" i="18"/>
  <c r="C15" i="19"/>
  <c r="C16" i="19"/>
  <c r="E18" i="19"/>
  <c r="E15" i="19"/>
  <c r="E16" i="19"/>
  <c r="D15" i="19"/>
  <c r="D16" i="19"/>
  <c r="D17" i="19"/>
  <c r="B15" i="19"/>
  <c r="B16" i="19"/>
  <c r="F26" i="16"/>
  <c r="D13" i="18"/>
  <c r="E9" i="15"/>
  <c r="F9" i="15"/>
  <c r="C9" i="15"/>
  <c r="F8" i="13"/>
  <c r="L13" i="11"/>
  <c r="M13" i="11" s="1"/>
  <c r="I13" i="11"/>
  <c r="D13" i="11"/>
  <c r="G13" i="11"/>
  <c r="C13" i="11"/>
  <c r="B46" i="41"/>
  <c r="B45" i="41"/>
  <c r="C19" i="41"/>
  <c r="C18" i="41"/>
  <c r="G20" i="44"/>
  <c r="G59" i="44"/>
  <c r="E59" i="44"/>
  <c r="F59" i="44"/>
  <c r="D59" i="44"/>
  <c r="F33" i="44"/>
  <c r="G33" i="44"/>
  <c r="E33" i="44"/>
  <c r="C44" i="7"/>
  <c r="C41" i="7"/>
  <c r="C42" i="7"/>
  <c r="C43" i="7"/>
  <c r="C40" i="7"/>
  <c r="D22" i="7"/>
  <c r="E99" i="37"/>
  <c r="E95" i="37"/>
  <c r="E93" i="37"/>
  <c r="I28" i="35"/>
  <c r="K26" i="35"/>
  <c r="K28" i="35"/>
  <c r="K33" i="35" s="1"/>
  <c r="D35" i="34"/>
  <c r="D33" i="34"/>
  <c r="E55" i="34"/>
  <c r="E59" i="34" l="1"/>
  <c r="E30" i="46"/>
  <c r="C20" i="46"/>
  <c r="C25" i="46"/>
  <c r="B15" i="46"/>
  <c r="B16" i="46"/>
  <c r="D16" i="46"/>
  <c r="D15" i="46"/>
  <c r="C15" i="46"/>
  <c r="D28" i="46"/>
  <c r="B53" i="46"/>
  <c r="B44" i="46"/>
  <c r="B49" i="46"/>
  <c r="B43" i="46"/>
  <c r="C18" i="46"/>
  <c r="B17" i="46"/>
  <c r="B18" i="46"/>
  <c r="B50" i="46"/>
  <c r="B47" i="46"/>
  <c r="B35" i="46"/>
  <c r="B20" i="46"/>
  <c r="H73" i="1"/>
  <c r="E95" i="2" l="1"/>
  <c r="E91" i="2"/>
  <c r="E90" i="2"/>
  <c r="E48" i="2"/>
  <c r="E44" i="2"/>
  <c r="E26" i="2"/>
  <c r="E40" i="2"/>
  <c r="E88" i="2"/>
  <c r="E87" i="2"/>
  <c r="E35" i="2"/>
  <c r="E16" i="2"/>
  <c r="G72" i="1"/>
  <c r="G73" i="1"/>
  <c r="G67" i="1"/>
  <c r="G61" i="1"/>
  <c r="G34" i="1"/>
  <c r="G25" i="1"/>
  <c r="G19" i="1"/>
  <c r="G18" i="1"/>
  <c r="G10" i="1"/>
  <c r="D72" i="1"/>
  <c r="D60" i="1"/>
  <c r="D59" i="1"/>
  <c r="D42" i="1"/>
  <c r="D43" i="1"/>
  <c r="D32" i="1"/>
  <c r="D26" i="1"/>
  <c r="D23" i="1"/>
  <c r="D22" i="1"/>
  <c r="D18" i="1"/>
  <c r="D12" i="1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A83" i="42"/>
  <c r="A84" i="42"/>
  <c r="A85" i="42"/>
  <c r="A86" i="42"/>
  <c r="A87" i="42"/>
  <c r="A88" i="42"/>
  <c r="A89" i="42"/>
  <c r="A90" i="42"/>
  <c r="A91" i="42"/>
  <c r="A92" i="42"/>
  <c r="A93" i="42"/>
  <c r="A94" i="42"/>
  <c r="B83" i="42"/>
  <c r="B100" i="42" s="1"/>
  <c r="B84" i="42"/>
  <c r="B85" i="42"/>
  <c r="B86" i="42"/>
  <c r="B87" i="42"/>
  <c r="B88" i="42"/>
  <c r="B89" i="42"/>
  <c r="B90" i="42"/>
  <c r="B91" i="42"/>
  <c r="B92" i="42"/>
  <c r="B93" i="42"/>
  <c r="B94" i="42"/>
  <c r="B102" i="42" s="1"/>
  <c r="C38" i="44" l="1"/>
  <c r="C37" i="44"/>
  <c r="B6" i="33" l="1"/>
  <c r="B7" i="46" s="1"/>
  <c r="D14" i="27"/>
  <c r="D10" i="27"/>
  <c r="D18" i="23"/>
  <c r="G8" i="22"/>
  <c r="G14" i="22" s="1"/>
  <c r="E14" i="19"/>
  <c r="D14" i="19"/>
  <c r="C14" i="19"/>
  <c r="B14" i="19"/>
  <c r="G44" i="44"/>
  <c r="F44" i="44"/>
  <c r="E44" i="44" l="1"/>
  <c r="D44" i="44"/>
  <c r="B27" i="35" l="1"/>
  <c r="B28" i="35"/>
  <c r="K27" i="35"/>
  <c r="G10" i="44" l="1"/>
  <c r="F10" i="44"/>
  <c r="D36" i="7"/>
  <c r="A65" i="43" l="1"/>
  <c r="A66" i="43"/>
  <c r="A67" i="43"/>
  <c r="A68" i="43"/>
  <c r="A69" i="43"/>
  <c r="A70" i="43"/>
  <c r="A71" i="43"/>
  <c r="A72" i="43"/>
  <c r="B65" i="43"/>
  <c r="B66" i="43"/>
  <c r="B67" i="43"/>
  <c r="B68" i="43"/>
  <c r="B69" i="43"/>
  <c r="B70" i="43"/>
  <c r="B71" i="43"/>
  <c r="B72" i="43"/>
  <c r="B80" i="42"/>
  <c r="B81" i="42"/>
  <c r="B82" i="42"/>
  <c r="A80" i="42"/>
  <c r="A81" i="42"/>
  <c r="A82" i="42"/>
  <c r="D13" i="27"/>
  <c r="D15" i="27" s="1"/>
  <c r="D9" i="27"/>
  <c r="D11" i="27" s="1"/>
  <c r="D11" i="25"/>
  <c r="D10" i="25" s="1"/>
  <c r="F78" i="2" l="1"/>
  <c r="F105" i="2" s="1"/>
  <c r="E32" i="2"/>
  <c r="B40" i="46"/>
  <c r="C46" i="41" l="1"/>
  <c r="D46" i="41" s="1"/>
  <c r="D8" i="23"/>
  <c r="C8" i="23"/>
  <c r="F19" i="19"/>
  <c r="E13" i="19"/>
  <c r="D13" i="19"/>
  <c r="C13" i="19"/>
  <c r="B13" i="19"/>
  <c r="D8" i="17"/>
  <c r="D9" i="17"/>
  <c r="C8" i="13"/>
  <c r="C63" i="44"/>
  <c r="C69" i="44" s="1"/>
  <c r="F30" i="44"/>
  <c r="G26" i="44"/>
  <c r="F26" i="44"/>
  <c r="E26" i="44"/>
  <c r="E10" i="44"/>
  <c r="F23" i="44"/>
  <c r="G23" i="44"/>
  <c r="E23" i="44"/>
  <c r="E9" i="44" l="1"/>
  <c r="F9" i="44"/>
  <c r="D37" i="7" l="1"/>
  <c r="E36" i="7"/>
  <c r="E37" i="7" s="1"/>
  <c r="E44" i="7"/>
  <c r="D44" i="7"/>
  <c r="C7" i="7" l="1"/>
  <c r="D7" i="37"/>
  <c r="D91" i="37" s="1"/>
  <c r="I60" i="46" l="1"/>
  <c r="B67" i="46" s="1"/>
  <c r="H60" i="46"/>
  <c r="B66" i="46" s="1"/>
  <c r="D12" i="34" s="1"/>
  <c r="F20" i="46"/>
  <c r="D44" i="46"/>
  <c r="E23" i="46"/>
  <c r="E24" i="46" s="1"/>
  <c r="C37" i="46"/>
  <c r="E28" i="46"/>
  <c r="E39" i="46"/>
  <c r="C93" i="46"/>
  <c r="F57" i="46"/>
  <c r="L57" i="46" s="1"/>
  <c r="F52" i="46"/>
  <c r="L52" i="46" s="1"/>
  <c r="F51" i="46"/>
  <c r="L51" i="46" s="1"/>
  <c r="D50" i="46"/>
  <c r="F50" i="46" s="1"/>
  <c r="L50" i="46" s="1"/>
  <c r="D48" i="46"/>
  <c r="M45" i="46"/>
  <c r="F45" i="46"/>
  <c r="F38" i="46"/>
  <c r="B37" i="46"/>
  <c r="F36" i="46"/>
  <c r="F35" i="46"/>
  <c r="F34" i="46"/>
  <c r="F33" i="46"/>
  <c r="N33" i="46" s="1"/>
  <c r="F31" i="46"/>
  <c r="L31" i="46" s="1"/>
  <c r="F30" i="46"/>
  <c r="J30" i="46" s="1"/>
  <c r="B29" i="46"/>
  <c r="Q27" i="46"/>
  <c r="P27" i="46"/>
  <c r="R26" i="46"/>
  <c r="C26" i="46"/>
  <c r="R25" i="46"/>
  <c r="R24" i="46"/>
  <c r="R23" i="46"/>
  <c r="F22" i="46"/>
  <c r="R21" i="46"/>
  <c r="F19" i="46"/>
  <c r="M19" i="46" s="1"/>
  <c r="F18" i="46"/>
  <c r="F14" i="46"/>
  <c r="F11" i="46"/>
  <c r="J11" i="46" s="1"/>
  <c r="J60" i="46" l="1"/>
  <c r="R27" i="46"/>
  <c r="E40" i="46"/>
  <c r="E41" i="46" s="1"/>
  <c r="D53" i="46"/>
  <c r="F53" i="46" s="1"/>
  <c r="N53" i="46" s="1"/>
  <c r="F37" i="46"/>
  <c r="F44" i="46"/>
  <c r="L44" i="46" s="1"/>
  <c r="F48" i="46"/>
  <c r="L48" i="46" s="1"/>
  <c r="C29" i="46"/>
  <c r="F29" i="46" s="1"/>
  <c r="N29" i="46" s="1"/>
  <c r="B70" i="46"/>
  <c r="D26" i="34" s="1"/>
  <c r="B87" i="46" l="1"/>
  <c r="D62" i="46"/>
  <c r="H36" i="1" l="1"/>
  <c r="H15" i="1"/>
  <c r="H27" i="1"/>
  <c r="B64" i="43"/>
  <c r="A64" i="43"/>
  <c r="F8" i="2"/>
  <c r="E8" i="2"/>
  <c r="D7" i="1"/>
  <c r="H74" i="1" l="1"/>
  <c r="H37" i="1"/>
  <c r="H58" i="1" s="1"/>
  <c r="B57" i="43"/>
  <c r="B58" i="43"/>
  <c r="B59" i="43"/>
  <c r="B60" i="43"/>
  <c r="B61" i="43"/>
  <c r="B62" i="43"/>
  <c r="B63" i="43"/>
  <c r="A57" i="43"/>
  <c r="A58" i="43"/>
  <c r="A59" i="43"/>
  <c r="A60" i="43"/>
  <c r="A61" i="43"/>
  <c r="A62" i="43"/>
  <c r="A63" i="43"/>
  <c r="D54" i="34"/>
  <c r="H75" i="1" l="1"/>
  <c r="F106" i="2"/>
  <c r="H76" i="1"/>
  <c r="E97" i="37"/>
  <c r="E24" i="22"/>
  <c r="E12" i="19"/>
  <c r="D12" i="19"/>
  <c r="C12" i="19"/>
  <c r="B12" i="19"/>
  <c r="E11" i="19"/>
  <c r="B13" i="41"/>
  <c r="B12" i="41"/>
  <c r="E26" i="7"/>
  <c r="E39" i="7" s="1"/>
  <c r="D26" i="7"/>
  <c r="D39" i="7" s="1"/>
  <c r="D20" i="7"/>
  <c r="E69" i="44"/>
  <c r="D69" i="44"/>
  <c r="D63" i="44"/>
  <c r="F37" i="44"/>
  <c r="A3" i="43"/>
  <c r="B3" i="43"/>
  <c r="H3" i="43"/>
  <c r="A4" i="43"/>
  <c r="B4" i="43"/>
  <c r="A5" i="43"/>
  <c r="B5" i="43"/>
  <c r="A6" i="43"/>
  <c r="B6" i="43"/>
  <c r="A7" i="43"/>
  <c r="B7" i="43"/>
  <c r="C7" i="43" s="1"/>
  <c r="A8" i="43"/>
  <c r="B8" i="43"/>
  <c r="A9" i="43"/>
  <c r="B9" i="43"/>
  <c r="A10" i="43"/>
  <c r="B10" i="43"/>
  <c r="A11" i="43"/>
  <c r="B11" i="43"/>
  <c r="C11" i="43" s="1"/>
  <c r="A12" i="43"/>
  <c r="B12" i="43"/>
  <c r="A13" i="43"/>
  <c r="B13" i="43"/>
  <c r="A14" i="43"/>
  <c r="B14" i="43"/>
  <c r="A15" i="43"/>
  <c r="B15" i="43"/>
  <c r="C15" i="43" s="1"/>
  <c r="A16" i="43"/>
  <c r="B16" i="43"/>
  <c r="A17" i="43"/>
  <c r="B17" i="43"/>
  <c r="A18" i="43"/>
  <c r="B18" i="43"/>
  <c r="A19" i="43"/>
  <c r="B19" i="43"/>
  <c r="C19" i="43" s="1"/>
  <c r="A20" i="43"/>
  <c r="B20" i="43"/>
  <c r="A21" i="43"/>
  <c r="B21" i="43"/>
  <c r="A22" i="43"/>
  <c r="B22" i="43"/>
  <c r="H22" i="43" s="1"/>
  <c r="A23" i="43"/>
  <c r="B23" i="43"/>
  <c r="A24" i="43"/>
  <c r="B24" i="43"/>
  <c r="A25" i="43"/>
  <c r="B25" i="43"/>
  <c r="A26" i="43"/>
  <c r="B26" i="43"/>
  <c r="C26" i="43" s="1"/>
  <c r="A27" i="43"/>
  <c r="B27" i="43"/>
  <c r="A28" i="43"/>
  <c r="B28" i="43"/>
  <c r="A29" i="43"/>
  <c r="B29" i="43"/>
  <c r="A30" i="43"/>
  <c r="B30" i="43"/>
  <c r="C30" i="43" s="1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C38" i="43" s="1"/>
  <c r="A39" i="43"/>
  <c r="B39" i="43"/>
  <c r="A40" i="43"/>
  <c r="B40" i="43"/>
  <c r="A41" i="43"/>
  <c r="B41" i="43"/>
  <c r="A42" i="43"/>
  <c r="B42" i="43"/>
  <c r="C42" i="43" s="1"/>
  <c r="A43" i="43"/>
  <c r="B43" i="43"/>
  <c r="A44" i="43"/>
  <c r="B44" i="43"/>
  <c r="A45" i="43"/>
  <c r="B45" i="43"/>
  <c r="A46" i="43"/>
  <c r="B46" i="43"/>
  <c r="C46" i="43" s="1"/>
  <c r="A47" i="43"/>
  <c r="B47" i="43"/>
  <c r="A48" i="43"/>
  <c r="B48" i="43"/>
  <c r="A49" i="43"/>
  <c r="B49" i="43"/>
  <c r="A50" i="43"/>
  <c r="B50" i="43"/>
  <c r="C50" i="43" s="1"/>
  <c r="A51" i="43"/>
  <c r="B51" i="43"/>
  <c r="A52" i="43"/>
  <c r="B52" i="43"/>
  <c r="A53" i="43"/>
  <c r="B53" i="43"/>
  <c r="A54" i="43"/>
  <c r="B54" i="43"/>
  <c r="C54" i="43" s="1"/>
  <c r="A55" i="43"/>
  <c r="B55" i="43"/>
  <c r="A56" i="43"/>
  <c r="B56" i="43"/>
  <c r="B79" i="42"/>
  <c r="A79" i="42"/>
  <c r="B78" i="42"/>
  <c r="A78" i="42"/>
  <c r="B77" i="42"/>
  <c r="A77" i="42"/>
  <c r="B76" i="42"/>
  <c r="A76" i="42"/>
  <c r="B75" i="42"/>
  <c r="G64" i="37" s="1"/>
  <c r="A75" i="42"/>
  <c r="B74" i="42"/>
  <c r="A74" i="42"/>
  <c r="B73" i="42"/>
  <c r="A73" i="42"/>
  <c r="B72" i="42"/>
  <c r="A72" i="42"/>
  <c r="B71" i="42"/>
  <c r="A71" i="42"/>
  <c r="B70" i="42"/>
  <c r="A70" i="42"/>
  <c r="B69" i="42"/>
  <c r="A69" i="42"/>
  <c r="B68" i="42"/>
  <c r="A68" i="42"/>
  <c r="B67" i="42"/>
  <c r="A67" i="42"/>
  <c r="B66" i="42"/>
  <c r="A66" i="42"/>
  <c r="B65" i="42"/>
  <c r="G65" i="37" s="1"/>
  <c r="A65" i="42"/>
  <c r="B64" i="42"/>
  <c r="A64" i="42"/>
  <c r="B63" i="42"/>
  <c r="A63" i="42"/>
  <c r="B62" i="42"/>
  <c r="A62" i="42"/>
  <c r="B61" i="42"/>
  <c r="A61" i="42"/>
  <c r="B60" i="42"/>
  <c r="B99" i="42" s="1"/>
  <c r="A60" i="42"/>
  <c r="B59" i="42"/>
  <c r="A59" i="42"/>
  <c r="B58" i="42"/>
  <c r="A58" i="42"/>
  <c r="B57" i="42"/>
  <c r="D10" i="17" s="1"/>
  <c r="D11" i="17" s="1"/>
  <c r="A57" i="42"/>
  <c r="B56" i="42"/>
  <c r="A56" i="42"/>
  <c r="B55" i="42"/>
  <c r="A55" i="42"/>
  <c r="B54" i="42"/>
  <c r="A54" i="42"/>
  <c r="B53" i="42"/>
  <c r="A53" i="42"/>
  <c r="B52" i="42"/>
  <c r="A52" i="42"/>
  <c r="B51" i="42"/>
  <c r="B26" i="46" s="1"/>
  <c r="F26" i="46" s="1"/>
  <c r="G26" i="46" s="1"/>
  <c r="A51" i="42"/>
  <c r="B50" i="42"/>
  <c r="A50" i="42"/>
  <c r="B49" i="42"/>
  <c r="A49" i="42"/>
  <c r="B48" i="42"/>
  <c r="A48" i="42"/>
  <c r="B47" i="42"/>
  <c r="A47" i="42"/>
  <c r="B46" i="42"/>
  <c r="A46" i="42"/>
  <c r="B45" i="42"/>
  <c r="G20" i="42" s="1"/>
  <c r="A45" i="42"/>
  <c r="B44" i="42"/>
  <c r="A44" i="42"/>
  <c r="B43" i="42"/>
  <c r="A43" i="42"/>
  <c r="B42" i="42"/>
  <c r="A42" i="42"/>
  <c r="B41" i="42"/>
  <c r="E10" i="19" s="1"/>
  <c r="A41" i="42"/>
  <c r="B40" i="42"/>
  <c r="A40" i="42"/>
  <c r="B39" i="42"/>
  <c r="A39" i="42"/>
  <c r="B38" i="42"/>
  <c r="A38" i="42"/>
  <c r="B37" i="42"/>
  <c r="A37" i="42"/>
  <c r="B36" i="42"/>
  <c r="A36" i="42"/>
  <c r="B35" i="42"/>
  <c r="A35" i="42"/>
  <c r="B34" i="42"/>
  <c r="B10" i="46" s="1"/>
  <c r="A34" i="42"/>
  <c r="B33" i="42"/>
  <c r="A33" i="42"/>
  <c r="B32" i="42"/>
  <c r="G28" i="37" s="1"/>
  <c r="A32" i="42"/>
  <c r="B31" i="42"/>
  <c r="C10" i="41" s="1"/>
  <c r="A31" i="42"/>
  <c r="B30" i="42"/>
  <c r="B12" i="46" s="1"/>
  <c r="F12" i="46" s="1"/>
  <c r="G12" i="46" s="1"/>
  <c r="A30" i="42"/>
  <c r="B29" i="42"/>
  <c r="A29" i="42"/>
  <c r="B28" i="42"/>
  <c r="A28" i="42"/>
  <c r="B27" i="42"/>
  <c r="A27" i="42"/>
  <c r="B26" i="42"/>
  <c r="A26" i="42"/>
  <c r="B25" i="42"/>
  <c r="A25" i="42"/>
  <c r="B24" i="42"/>
  <c r="A24" i="42"/>
  <c r="B23" i="42"/>
  <c r="A23" i="42"/>
  <c r="B22" i="42"/>
  <c r="A22" i="42"/>
  <c r="B21" i="42"/>
  <c r="A21" i="42"/>
  <c r="H20" i="42"/>
  <c r="B20" i="42"/>
  <c r="A20" i="42"/>
  <c r="H19" i="42"/>
  <c r="B19" i="42"/>
  <c r="A19" i="42"/>
  <c r="B18" i="42"/>
  <c r="A18" i="42"/>
  <c r="B17" i="42"/>
  <c r="A17" i="42"/>
  <c r="B16" i="42"/>
  <c r="C19" i="7" s="1"/>
  <c r="A16" i="42"/>
  <c r="B15" i="42"/>
  <c r="C18" i="7" s="1"/>
  <c r="A15" i="42"/>
  <c r="B14" i="42"/>
  <c r="C17" i="7" s="1"/>
  <c r="A14" i="42"/>
  <c r="B17" i="7" s="1"/>
  <c r="B13" i="42"/>
  <c r="C16" i="7" s="1"/>
  <c r="A13" i="42"/>
  <c r="B16" i="7" s="1"/>
  <c r="B12" i="42"/>
  <c r="C15" i="7" s="1"/>
  <c r="A12" i="42"/>
  <c r="B15" i="7" s="1"/>
  <c r="B11" i="42"/>
  <c r="C14" i="7" s="1"/>
  <c r="A11" i="42"/>
  <c r="B14" i="7" s="1"/>
  <c r="B10" i="42"/>
  <c r="C13" i="7" s="1"/>
  <c r="A10" i="42"/>
  <c r="B13" i="7" s="1"/>
  <c r="B9" i="42"/>
  <c r="C12" i="7" s="1"/>
  <c r="A9" i="42"/>
  <c r="B12" i="7" s="1"/>
  <c r="B8" i="42"/>
  <c r="G21" i="37" s="1"/>
  <c r="A8" i="42"/>
  <c r="B11" i="7" s="1"/>
  <c r="B7" i="42"/>
  <c r="A7" i="42"/>
  <c r="B10" i="7" s="1"/>
  <c r="B6" i="42"/>
  <c r="A6" i="42"/>
  <c r="B9" i="7" s="1"/>
  <c r="B5" i="42"/>
  <c r="B9" i="46" s="1"/>
  <c r="A5" i="42"/>
  <c r="B4" i="42"/>
  <c r="A4" i="42"/>
  <c r="B3" i="42"/>
  <c r="B98" i="42" s="1"/>
  <c r="A3" i="42"/>
  <c r="C76" i="43" l="1"/>
  <c r="C84" i="43"/>
  <c r="C77" i="43"/>
  <c r="C80" i="43"/>
  <c r="B87" i="43"/>
  <c r="B89" i="43" s="1"/>
  <c r="C78" i="43"/>
  <c r="C85" i="43"/>
  <c r="C74" i="43"/>
  <c r="C82" i="43"/>
  <c r="C73" i="43"/>
  <c r="C75" i="43"/>
  <c r="C79" i="43"/>
  <c r="C83" i="43"/>
  <c r="C81" i="43"/>
  <c r="E78" i="1"/>
  <c r="E77" i="1"/>
  <c r="G30" i="44"/>
  <c r="G9" i="44" s="1"/>
  <c r="C21" i="43"/>
  <c r="C17" i="43"/>
  <c r="C9" i="43"/>
  <c r="C10" i="7"/>
  <c r="C52" i="43"/>
  <c r="C48" i="43"/>
  <c r="C44" i="43"/>
  <c r="B28" i="46"/>
  <c r="F28" i="46" s="1"/>
  <c r="C11" i="41"/>
  <c r="C72" i="43"/>
  <c r="C66" i="43"/>
  <c r="C67" i="43"/>
  <c r="C65" i="43"/>
  <c r="C69" i="43"/>
  <c r="C71" i="43"/>
  <c r="C70" i="43"/>
  <c r="C68" i="43"/>
  <c r="C4" i="43"/>
  <c r="C53" i="43"/>
  <c r="C49" i="43"/>
  <c r="C45" i="43"/>
  <c r="C18" i="43"/>
  <c r="C14" i="43"/>
  <c r="C6" i="43"/>
  <c r="C41" i="43"/>
  <c r="C37" i="43"/>
  <c r="C33" i="43"/>
  <c r="C29" i="43"/>
  <c r="C25" i="43"/>
  <c r="H21" i="43"/>
  <c r="C5" i="43"/>
  <c r="C40" i="43"/>
  <c r="C36" i="43"/>
  <c r="C32" i="43"/>
  <c r="C28" i="43"/>
  <c r="C24" i="43"/>
  <c r="C55" i="43"/>
  <c r="C51" i="43"/>
  <c r="C47" i="43"/>
  <c r="C43" i="43"/>
  <c r="C8" i="43"/>
  <c r="C39" i="43"/>
  <c r="C35" i="43"/>
  <c r="C31" i="43"/>
  <c r="C27" i="43"/>
  <c r="C16" i="43"/>
  <c r="C22" i="43"/>
  <c r="C10" i="43"/>
  <c r="C20" i="43"/>
  <c r="C56" i="43"/>
  <c r="C13" i="43"/>
  <c r="C3" i="43"/>
  <c r="C64" i="43"/>
  <c r="C58" i="43"/>
  <c r="C62" i="43"/>
  <c r="C59" i="43"/>
  <c r="C63" i="43"/>
  <c r="C60" i="43"/>
  <c r="C61" i="43"/>
  <c r="C57" i="43"/>
  <c r="C34" i="43"/>
  <c r="F47" i="46"/>
  <c r="K47" i="46" s="1"/>
  <c r="E63" i="44"/>
  <c r="G63" i="44"/>
  <c r="F63" i="44"/>
  <c r="D94" i="46"/>
  <c r="F9" i="46"/>
  <c r="O9" i="46" s="1"/>
  <c r="G19" i="42"/>
  <c r="G18" i="42" s="1"/>
  <c r="F10" i="46"/>
  <c r="L10" i="46" s="1"/>
  <c r="F27" i="46"/>
  <c r="L27" i="46" s="1"/>
  <c r="B39" i="46"/>
  <c r="C12" i="43"/>
  <c r="C23" i="43"/>
  <c r="H18" i="42"/>
  <c r="D13" i="1"/>
  <c r="C11" i="7"/>
  <c r="D45" i="7" s="1"/>
  <c r="C9" i="7"/>
  <c r="C20" i="7" s="1"/>
  <c r="G3" i="42"/>
  <c r="I20" i="42"/>
  <c r="B101" i="42"/>
  <c r="G37" i="44" l="1"/>
  <c r="K60" i="46"/>
  <c r="B68" i="46" s="1"/>
  <c r="D11" i="34" s="1"/>
  <c r="I19" i="42"/>
  <c r="I18" i="42" s="1"/>
  <c r="G74" i="1"/>
  <c r="C87" i="43"/>
  <c r="D11" i="19" l="1"/>
  <c r="C11" i="19"/>
  <c r="B11" i="19"/>
  <c r="F20" i="22"/>
  <c r="C28" i="41"/>
  <c r="C29" i="41" s="1"/>
  <c r="C20" i="41"/>
  <c r="C12" i="41"/>
  <c r="B21" i="41"/>
  <c r="B30" i="41" s="1"/>
  <c r="B19" i="11" s="1"/>
  <c r="B29" i="41"/>
  <c r="D6" i="14" s="1"/>
  <c r="B26" i="41"/>
  <c r="D12" i="41"/>
  <c r="C45" i="41" l="1"/>
  <c r="B18" i="11"/>
  <c r="B20" i="41"/>
  <c r="C9" i="25" l="1"/>
  <c r="C8" i="25" s="1"/>
  <c r="C11" i="25"/>
  <c r="C10" i="25" s="1"/>
  <c r="C7" i="24"/>
  <c r="D7" i="24"/>
  <c r="D7" i="25" s="1"/>
  <c r="G20" i="22"/>
  <c r="C8" i="16"/>
  <c r="D7" i="27" l="1"/>
  <c r="D7" i="28"/>
  <c r="E18" i="2" l="1"/>
  <c r="E14" i="2"/>
  <c r="H14" i="2" s="1"/>
  <c r="E80" i="2"/>
  <c r="E86" i="2"/>
  <c r="F43" i="46" s="1"/>
  <c r="G43" i="46" s="1"/>
  <c r="E89" i="2"/>
  <c r="E84" i="2" l="1"/>
  <c r="C42" i="16" l="1"/>
  <c r="C26" i="22"/>
  <c r="E25" i="22"/>
  <c r="E22" i="22"/>
  <c r="D26" i="22"/>
  <c r="E34" i="16"/>
  <c r="E26" i="22" l="1"/>
  <c r="D47" i="1"/>
  <c r="D21" i="23"/>
  <c r="C21" i="23"/>
  <c r="M9" i="11"/>
  <c r="F16" i="46" l="1"/>
  <c r="M16" i="46" s="1"/>
  <c r="B74" i="46" s="1"/>
  <c r="G40" i="44"/>
  <c r="D29" i="1"/>
  <c r="D45" i="41" s="1"/>
  <c r="G63" i="1"/>
  <c r="G36" i="1"/>
  <c r="D74" i="1"/>
  <c r="B42" i="46"/>
  <c r="F42" i="46" l="1"/>
  <c r="G42" i="46" s="1"/>
  <c r="C32" i="41"/>
  <c r="B13" i="46"/>
  <c r="B32" i="46"/>
  <c r="F32" i="46" s="1"/>
  <c r="N32" i="46" s="1"/>
  <c r="B88" i="46" s="1"/>
  <c r="D44" i="34" s="1"/>
  <c r="K9" i="35"/>
  <c r="J9" i="35"/>
  <c r="E7" i="34"/>
  <c r="D7" i="34"/>
  <c r="B3" i="35"/>
  <c r="C3" i="34"/>
  <c r="C3" i="2"/>
  <c r="C3" i="1"/>
  <c r="C10" i="28"/>
  <c r="D10" i="28"/>
  <c r="D14" i="28"/>
  <c r="E11" i="13"/>
  <c r="C11" i="13"/>
  <c r="F10" i="13"/>
  <c r="F13" i="46" l="1"/>
  <c r="L13" i="46" s="1"/>
  <c r="D20" i="34"/>
  <c r="C7" i="27" l="1"/>
  <c r="C7" i="28" s="1"/>
  <c r="C10" i="27"/>
  <c r="C9" i="27"/>
  <c r="D12" i="22"/>
  <c r="C11" i="27" l="1"/>
  <c r="C7" i="25"/>
  <c r="F9" i="13"/>
  <c r="D11" i="13" l="1"/>
  <c r="F20" i="37" l="1"/>
  <c r="F21" i="37" s="1"/>
  <c r="E21" i="37" s="1"/>
  <c r="F22" i="37" l="1"/>
  <c r="F25" i="35"/>
  <c r="J23" i="35"/>
  <c r="J13" i="35"/>
  <c r="J14" i="35"/>
  <c r="J16" i="35"/>
  <c r="J18" i="35"/>
  <c r="J19" i="35"/>
  <c r="J20" i="35"/>
  <c r="J21" i="35"/>
  <c r="J22" i="35"/>
  <c r="J24" i="35"/>
  <c r="J12" i="35"/>
  <c r="I27" i="35"/>
  <c r="H27" i="35"/>
  <c r="G27" i="35"/>
  <c r="F27" i="35"/>
  <c r="F26" i="35" s="1"/>
  <c r="I11" i="35"/>
  <c r="I25" i="35" s="1"/>
  <c r="H25" i="35" s="1"/>
  <c r="H11" i="35"/>
  <c r="F11" i="35"/>
  <c r="G11" i="35"/>
  <c r="E11" i="35"/>
  <c r="E27" i="35"/>
  <c r="C11" i="35"/>
  <c r="C27" i="35"/>
  <c r="D27" i="35"/>
  <c r="D11" i="35"/>
  <c r="C14" i="27"/>
  <c r="C24" i="23"/>
  <c r="E93" i="2"/>
  <c r="C17" i="28" s="1"/>
  <c r="E10" i="2"/>
  <c r="F23" i="37" l="1"/>
  <c r="E22" i="37"/>
  <c r="J11" i="35"/>
  <c r="D25" i="35"/>
  <c r="J27" i="35"/>
  <c r="F30" i="35"/>
  <c r="F32" i="35" s="1"/>
  <c r="H30" i="35"/>
  <c r="H32" i="35" s="1"/>
  <c r="C32" i="35"/>
  <c r="C13" i="27"/>
  <c r="C15" i="27" s="1"/>
  <c r="C18" i="27" s="1"/>
  <c r="E43" i="2"/>
  <c r="E37" i="2"/>
  <c r="F49" i="46" l="1"/>
  <c r="L49" i="46" s="1"/>
  <c r="F24" i="37"/>
  <c r="E23" i="37"/>
  <c r="B46" i="46"/>
  <c r="F46" i="46" s="1"/>
  <c r="G46" i="46" s="1"/>
  <c r="G60" i="46" s="1"/>
  <c r="B65" i="46" s="1"/>
  <c r="D10" i="34" s="1"/>
  <c r="D15" i="34" s="1"/>
  <c r="E41" i="2"/>
  <c r="E78" i="2" s="1"/>
  <c r="D30" i="35"/>
  <c r="D32" i="35" s="1"/>
  <c r="G69" i="1"/>
  <c r="G75" i="1" s="1"/>
  <c r="D36" i="1"/>
  <c r="B21" i="46" s="1"/>
  <c r="F21" i="46" s="1"/>
  <c r="L21" i="46" s="1"/>
  <c r="B58" i="46" l="1"/>
  <c r="D58" i="46" s="1"/>
  <c r="F58" i="46" s="1"/>
  <c r="L58" i="46" s="1"/>
  <c r="L60" i="46" s="1"/>
  <c r="B69" i="46" s="1"/>
  <c r="C72" i="46" s="1"/>
  <c r="F25" i="37"/>
  <c r="E24" i="37"/>
  <c r="E101" i="2"/>
  <c r="E105" i="2" s="1"/>
  <c r="E106" i="2" s="1"/>
  <c r="F26" i="22"/>
  <c r="G26" i="22"/>
  <c r="B59" i="46" l="1"/>
  <c r="F26" i="37"/>
  <c r="E25" i="37"/>
  <c r="D22" i="34"/>
  <c r="D24" i="34" s="1"/>
  <c r="D28" i="34" s="1"/>
  <c r="C39" i="46"/>
  <c r="D60" i="46"/>
  <c r="K30" i="35"/>
  <c r="J33" i="35"/>
  <c r="F27" i="37" l="1"/>
  <c r="E26" i="37"/>
  <c r="C60" i="46"/>
  <c r="F60" i="46" s="1"/>
  <c r="F39" i="46"/>
  <c r="I26" i="35"/>
  <c r="J26" i="35" s="1"/>
  <c r="F28" i="37" l="1"/>
  <c r="E27" i="37"/>
  <c r="D61" i="46"/>
  <c r="I30" i="35"/>
  <c r="I32" i="35" s="1"/>
  <c r="E15" i="35"/>
  <c r="G25" i="35"/>
  <c r="J25" i="35" s="1"/>
  <c r="E28" i="37" l="1"/>
  <c r="F29" i="37"/>
  <c r="J15" i="35"/>
  <c r="E30" i="35"/>
  <c r="E32" i="35" s="1"/>
  <c r="G17" i="35"/>
  <c r="F30" i="37" l="1"/>
  <c r="E29" i="37"/>
  <c r="J17" i="35"/>
  <c r="J30" i="35" s="1"/>
  <c r="J32" i="35" s="1"/>
  <c r="G30" i="35"/>
  <c r="G32" i="35" s="1"/>
  <c r="D68" i="1"/>
  <c r="D16" i="14" s="1"/>
  <c r="D61" i="1"/>
  <c r="D57" i="1"/>
  <c r="G27" i="1"/>
  <c r="G20" i="1"/>
  <c r="B25" i="46" s="1"/>
  <c r="D20" i="1"/>
  <c r="G7" i="1"/>
  <c r="F31" i="37" l="1"/>
  <c r="E30" i="37"/>
  <c r="F17" i="46"/>
  <c r="M17" i="46" s="1"/>
  <c r="B75" i="46" s="1"/>
  <c r="D75" i="1"/>
  <c r="G39" i="44"/>
  <c r="F25" i="46"/>
  <c r="N25" i="46" s="1"/>
  <c r="F15" i="46"/>
  <c r="M15" i="46" s="1"/>
  <c r="C22" i="7"/>
  <c r="G37" i="1"/>
  <c r="G58" i="1" s="1"/>
  <c r="G76" i="1" s="1"/>
  <c r="D37" i="1"/>
  <c r="B23" i="46" l="1"/>
  <c r="B41" i="46" s="1"/>
  <c r="F32" i="37"/>
  <c r="E31" i="37"/>
  <c r="M60" i="46"/>
  <c r="B76" i="46"/>
  <c r="C82" i="46" s="1"/>
  <c r="D40" i="34" s="1"/>
  <c r="B86" i="46"/>
  <c r="N60" i="46"/>
  <c r="D76" i="1"/>
  <c r="D78" i="1" s="1"/>
  <c r="C13" i="22"/>
  <c r="C18" i="11"/>
  <c r="D77" i="1" l="1"/>
  <c r="F33" i="37"/>
  <c r="E32" i="37"/>
  <c r="B24" i="46"/>
  <c r="F24" i="46" s="1"/>
  <c r="O60" i="46"/>
  <c r="D92" i="46" s="1"/>
  <c r="D49" i="34"/>
  <c r="D53" i="34" s="1"/>
  <c r="D55" i="34" s="1"/>
  <c r="C90" i="46"/>
  <c r="C92" i="46" s="1"/>
  <c r="C94" i="46" s="1"/>
  <c r="E94" i="46" s="1"/>
  <c r="B12" i="13"/>
  <c r="F34" i="37" l="1"/>
  <c r="E33" i="37"/>
  <c r="O61" i="46"/>
  <c r="D59" i="34"/>
  <c r="D57" i="34"/>
  <c r="E92" i="46"/>
  <c r="B13" i="15"/>
  <c r="C12" i="17" s="1"/>
  <c r="C16" i="18" s="1"/>
  <c r="B10" i="16" s="1"/>
  <c r="B13" i="14"/>
  <c r="F35" i="37" l="1"/>
  <c r="E34" i="37"/>
  <c r="B27" i="16"/>
  <c r="B35" i="16" s="1"/>
  <c r="F8" i="19"/>
  <c r="F64" i="37"/>
  <c r="E64" i="37" s="1"/>
  <c r="J60" i="37"/>
  <c r="F60" i="37"/>
  <c r="E35" i="37" l="1"/>
  <c r="F36" i="37"/>
  <c r="B44" i="16"/>
  <c r="B19" i="19"/>
  <c r="F65" i="37"/>
  <c r="E65" i="37" s="1"/>
  <c r="C9" i="16"/>
  <c r="C11" i="16" s="1"/>
  <c r="F37" i="37" l="1"/>
  <c r="E36" i="37"/>
  <c r="F66" i="37"/>
  <c r="F67" i="37" s="1"/>
  <c r="F68" i="37" s="1"/>
  <c r="F69" i="37" s="1"/>
  <c r="F70" i="37" s="1"/>
  <c r="F71" i="37" s="1"/>
  <c r="F72" i="37" s="1"/>
  <c r="F73" i="37" s="1"/>
  <c r="F74" i="37" s="1"/>
  <c r="F75" i="37" s="1"/>
  <c r="F76" i="37" s="1"/>
  <c r="F77" i="37" s="1"/>
  <c r="F78" i="37" s="1"/>
  <c r="F79" i="37" s="1"/>
  <c r="F80" i="37" s="1"/>
  <c r="F81" i="37" s="1"/>
  <c r="F82" i="37" s="1"/>
  <c r="F83" i="37" s="1"/>
  <c r="F84" i="37" s="1"/>
  <c r="F85" i="37" s="1"/>
  <c r="F86" i="37" s="1"/>
  <c r="C23" i="23"/>
  <c r="C22" i="23"/>
  <c r="F38" i="37" l="1"/>
  <c r="E37" i="37"/>
  <c r="F91" i="37"/>
  <c r="F39" i="37" l="1"/>
  <c r="E38" i="37"/>
  <c r="C25" i="23"/>
  <c r="D13" i="17"/>
  <c r="F7" i="13"/>
  <c r="D13" i="22"/>
  <c r="C43" i="16"/>
  <c r="C45" i="16" s="1"/>
  <c r="B26" i="19"/>
  <c r="B22" i="21" s="1"/>
  <c r="B14" i="22" s="1"/>
  <c r="D16" i="11"/>
  <c r="M14" i="11"/>
  <c r="M12" i="11"/>
  <c r="M11" i="11"/>
  <c r="E9" i="22"/>
  <c r="D93" i="37"/>
  <c r="D95" i="37" s="1"/>
  <c r="D94" i="37"/>
  <c r="D96" i="37" s="1"/>
  <c r="F10" i="15"/>
  <c r="F11" i="15"/>
  <c r="J16" i="11"/>
  <c r="M16" i="11"/>
  <c r="C12" i="15"/>
  <c r="E12" i="15"/>
  <c r="D12" i="14"/>
  <c r="I18" i="11"/>
  <c r="H18" i="11"/>
  <c r="M17" i="11"/>
  <c r="D12" i="15"/>
  <c r="F8" i="15"/>
  <c r="M10" i="11"/>
  <c r="M15" i="11"/>
  <c r="F40" i="37" l="1"/>
  <c r="E39" i="37"/>
  <c r="F11" i="13"/>
  <c r="F14" i="13" s="1"/>
  <c r="B11" i="13"/>
  <c r="B12" i="14" s="1"/>
  <c r="B12" i="15" s="1"/>
  <c r="F12" i="15"/>
  <c r="F15" i="15" s="1"/>
  <c r="L18" i="11"/>
  <c r="F41" i="37" l="1"/>
  <c r="E40" i="37"/>
  <c r="C11" i="17"/>
  <c r="C15" i="18" s="1"/>
  <c r="B9" i="16" s="1"/>
  <c r="G18" i="11"/>
  <c r="D18" i="11"/>
  <c r="M18" i="11"/>
  <c r="M22" i="11" s="1"/>
  <c r="F42" i="37" l="1"/>
  <c r="E41" i="37"/>
  <c r="B26" i="16"/>
  <c r="B43" i="16" s="1"/>
  <c r="B18" i="19" s="1"/>
  <c r="B25" i="19" s="1"/>
  <c r="B21" i="21" s="1"/>
  <c r="B13" i="22" s="1"/>
  <c r="E8" i="19"/>
  <c r="F43" i="37" l="1"/>
  <c r="E42" i="37"/>
  <c r="B34" i="16"/>
  <c r="F44" i="37" l="1"/>
  <c r="E43" i="37"/>
  <c r="F45" i="37" l="1"/>
  <c r="E44" i="37"/>
  <c r="F46" i="37" l="1"/>
  <c r="E45" i="37"/>
  <c r="F47" i="37" l="1"/>
  <c r="E46" i="37"/>
  <c r="F48" i="37" l="1"/>
  <c r="E47" i="37"/>
  <c r="F49" i="37" l="1"/>
  <c r="E48" i="37"/>
  <c r="F50" i="37" l="1"/>
  <c r="E49" i="37"/>
  <c r="F51" i="37" l="1"/>
  <c r="E50" i="37"/>
  <c r="F52" i="37" l="1"/>
  <c r="E51" i="37"/>
  <c r="F53" i="37" l="1"/>
  <c r="E52" i="37"/>
  <c r="F54" i="37" l="1"/>
  <c r="E53" i="37"/>
  <c r="F55" i="37" l="1"/>
  <c r="E54" i="37"/>
  <c r="F56" i="37" l="1"/>
  <c r="E55" i="37"/>
  <c r="F57" i="37" l="1"/>
  <c r="E57" i="37" s="1"/>
  <c r="E56" i="37"/>
  <c r="D15" i="18" l="1"/>
  <c r="D18" i="18" s="1"/>
  <c r="E11" i="22"/>
  <c r="E13" i="22" s="1"/>
  <c r="F13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5" authorId="0" shapeId="0" xr:uid="{32A66D9B-D4CE-4B9C-9434-91C81935B3C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La Casa de Bolsa brinda servicios de INTERMEDIACION 
</t>
        </r>
        <r>
          <rPr>
            <sz val="10"/>
            <color rgb="FF000000"/>
            <rFont val="Tahoma"/>
            <family val="2"/>
          </rPr>
          <t xml:space="preserve">Por ello los ingresos netos:
</t>
        </r>
        <r>
          <rPr>
            <sz val="10"/>
            <color rgb="FF000000"/>
            <rFont val="Tahoma"/>
            <family val="2"/>
          </rPr>
          <t xml:space="preserve">Importe reciibido de clientes mas Ingresos por intermediacion  menos pagos de clientes, costos de servicios
</t>
        </r>
      </text>
    </comment>
    <comment ref="E7" authorId="0" shapeId="0" xr:uid="{D17D88A4-ED12-49F4-A5A0-D17AF9DBF6D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Fijate siempre que los Datos correspondan al AÑO ANTERIOR....sumas globales u particulares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Sady Pereira</author>
  </authors>
  <commentList>
    <comment ref="E7" authorId="0" shapeId="0" xr:uid="{014E40D2-1D99-4DB0-89E9-CB49D051A259}">
      <text>
        <r>
          <rPr>
            <b/>
            <sz val="9"/>
            <color indexed="81"/>
            <rFont val="Tahoma"/>
            <family val="2"/>
          </rPr>
          <t>Sady Pereira:</t>
        </r>
        <r>
          <rPr>
            <sz val="9"/>
            <color indexed="81"/>
            <rFont val="Tahoma"/>
            <family val="2"/>
          </rPr>
          <t xml:space="preserve">
Corresponde a Saldos del Activo - Deudoras
o Pasicas - Acreedoreas</t>
        </r>
      </text>
    </comment>
  </commentList>
</comments>
</file>

<file path=xl/sharedStrings.xml><?xml version="1.0" encoding="utf-8"?>
<sst xmlns="http://schemas.openxmlformats.org/spreadsheetml/2006/main" count="1656" uniqueCount="1092">
  <si>
    <t xml:space="preserve">BALANCE GENERAL </t>
  </si>
  <si>
    <t>30/09/2022</t>
  </si>
  <si>
    <t>Notas</t>
  </si>
  <si>
    <t>Descripción</t>
  </si>
  <si>
    <t>Saldo</t>
  </si>
  <si>
    <t>Activo</t>
  </si>
  <si>
    <t>Activo Corriente</t>
  </si>
  <si>
    <t>Disponibilidades</t>
  </si>
  <si>
    <t>Bancos De Operaciones</t>
  </si>
  <si>
    <t>Bancos Operaciones - Moneda Extranjera</t>
  </si>
  <si>
    <t>Bancos Operaciones'!A1</t>
  </si>
  <si>
    <t>Banco Operaciones M/E</t>
  </si>
  <si>
    <t>Bancos Operaciones - Moneda Local</t>
  </si>
  <si>
    <t>Banco Operaciones M/L</t>
  </si>
  <si>
    <t>Bancos Administración'!A1</t>
  </si>
  <si>
    <t>Bancos Administrativas</t>
  </si>
  <si>
    <t>Bancos Moneda Extranjera</t>
  </si>
  <si>
    <t>Banco Familiar SAECA - M/E</t>
  </si>
  <si>
    <t>Bancos Moneda Local</t>
  </si>
  <si>
    <t>Banco Familiar Cta. Cte. 00-2906458 M/L</t>
  </si>
  <si>
    <t>Banco Familiar SAECA  -Caja De Ahorro - 0-2986139 M/L</t>
  </si>
  <si>
    <t>Diferencias con Administracion y Contabilidad</t>
  </si>
  <si>
    <t>Inversiones Temporarias</t>
  </si>
  <si>
    <t>Según Contab</t>
  </si>
  <si>
    <t>Según TP</t>
  </si>
  <si>
    <t>Diferencia</t>
  </si>
  <si>
    <t>Inversiones Financieras Temporales -Moneda Local</t>
  </si>
  <si>
    <t>Inventario Valuado 31 12 2021'!A1</t>
  </si>
  <si>
    <t>Títulos Representativos De Deuda -M/L</t>
  </si>
  <si>
    <t>Bonos M/L</t>
  </si>
  <si>
    <t>Otras Inversiones a Corto Plazo</t>
  </si>
  <si>
    <t xml:space="preserve">Instrumentos Financieros Cedidos En Prestamos M/L - </t>
  </si>
  <si>
    <t>Ajuste por Valuación de Inversiones Temporales</t>
  </si>
  <si>
    <t>(+) Ajuste por Valor de Compra Inversiones Temporales M/L</t>
  </si>
  <si>
    <t>Repos al 31 12 21'!A1</t>
  </si>
  <si>
    <t>(-) Ajuste por Desvalorización Inversiones Temporales M/L</t>
  </si>
  <si>
    <t>Intereses, Regalías Y Otros Rendimientos</t>
  </si>
  <si>
    <t>Intereses y Rendimientos a Cobrar por Instrumentos Financ.M/L</t>
  </si>
  <si>
    <t>(-) Intereses a Devengar por Instrumentos Financieros M/L</t>
  </si>
  <si>
    <t>Créditos</t>
  </si>
  <si>
    <t>Deudores Por Intermediacion De Valores</t>
  </si>
  <si>
    <t>Clientes Locales M/L</t>
  </si>
  <si>
    <t>Clientes Locales M/E</t>
  </si>
  <si>
    <t>Clientes!A1</t>
  </si>
  <si>
    <t>Documentos Y Cuentas Cobrar</t>
  </si>
  <si>
    <t>IVA Crédito'!A1</t>
  </si>
  <si>
    <t>Créditos Por Impuestos Corrientes</t>
  </si>
  <si>
    <t xml:space="preserve">IVA - Crédito a favor - DDJJ </t>
  </si>
  <si>
    <t>Anticipo A Proveedores</t>
  </si>
  <si>
    <t>Anticipos A Proveedores Locales. M/L</t>
  </si>
  <si>
    <t>Prestamo a Accionista '!A1</t>
  </si>
  <si>
    <t>Cuentas A Cobrar Entidades Relacionadas</t>
  </si>
  <si>
    <t>Cuentas A Cobrar a Directores y Accionistas M/L</t>
  </si>
  <si>
    <t>Intereses a Cobrar a Directores y Accionistas M/L</t>
  </si>
  <si>
    <t>Cuentas a Cobrar a Empresas y Personas Relacionadas M/L</t>
  </si>
  <si>
    <t>Gastos Pagados Por Adelantado</t>
  </si>
  <si>
    <t>Intereses a Vencer M/L</t>
  </si>
  <si>
    <t>Activo No Corriente</t>
  </si>
  <si>
    <t>ACCION BVPASA'!A1</t>
  </si>
  <si>
    <t>Inversiones A Largo Plazo</t>
  </si>
  <si>
    <t>Otras Inversiones Permanentes</t>
  </si>
  <si>
    <t>Equipo de Informatica'!A1</t>
  </si>
  <si>
    <t>Acción en la BVPASA</t>
  </si>
  <si>
    <t>Instrumentos Financieros Cedidos en Garantía</t>
  </si>
  <si>
    <t>Amortizac Gastos Constituc'!A1</t>
  </si>
  <si>
    <t>Intereses, Regalias y Otros Rendimientos Largo Plazo - Instrumentos Financieros</t>
  </si>
  <si>
    <t>Intereses, Regalías Y Otros Rendimientos M/L - Instrumentos Financieros Largo Plazo</t>
  </si>
  <si>
    <t>(-) Intereses a Devengar por Instrumentos Financieros M/L - Largo Plazo</t>
  </si>
  <si>
    <t>Ajustes  por Valuación De Inversión Permanente</t>
  </si>
  <si>
    <t>Acreedores por Intermed 31 12 '!A1</t>
  </si>
  <si>
    <t>(+) Ajuste por Valor de Compra Inversiones Permanentes ML</t>
  </si>
  <si>
    <t>Propiedad, Planta Y Equipo</t>
  </si>
  <si>
    <t>Equipos De Informaticas</t>
  </si>
  <si>
    <t>(-) Depreciación Acumulada</t>
  </si>
  <si>
    <t>Cargos Diferidos</t>
  </si>
  <si>
    <t>Gastos De Constitución</t>
  </si>
  <si>
    <t>(-) Amortización Acumulada</t>
  </si>
  <si>
    <t>Pasivo</t>
  </si>
  <si>
    <t>Pasivo Corriente</t>
  </si>
  <si>
    <t>Acreedores Por Operaciones</t>
  </si>
  <si>
    <t>Acreedores Por Operaciones M/L</t>
  </si>
  <si>
    <t>Acreedores Por Intermediacion De Valores M/L</t>
  </si>
  <si>
    <t>Acreedores Por Operaciones M/E</t>
  </si>
  <si>
    <t>Acreedores Por Intermediacion De Valores M/E</t>
  </si>
  <si>
    <t>Proveedores!A1</t>
  </si>
  <si>
    <t>Deudas Financieras</t>
  </si>
  <si>
    <t>Intereses A Pagar</t>
  </si>
  <si>
    <t>Intereses sobre REPOS a Pagar - M/L</t>
  </si>
  <si>
    <t>Otros Prestamos A Pagar - Repos</t>
  </si>
  <si>
    <t>Operaciones de Repo - Prestamos Repos M/L</t>
  </si>
  <si>
    <t>Otras Cuentas Por Pagar</t>
  </si>
  <si>
    <t>Cuentas a Pagar Administración</t>
  </si>
  <si>
    <t>Proveedores Locales M/L</t>
  </si>
  <si>
    <t>Conformaciión Capital'!A1</t>
  </si>
  <si>
    <t>Proveedores Locales M/E</t>
  </si>
  <si>
    <t>Provisiones</t>
  </si>
  <si>
    <t>Ips A Pagar</t>
  </si>
  <si>
    <t>Tarjeta de Crédito a Pagar</t>
  </si>
  <si>
    <t>Tarjeta de Crédito a Pagar - Familiar</t>
  </si>
  <si>
    <t>Ingresos Diferidos</t>
  </si>
  <si>
    <t>Intereses Diferidos M/L -Cupones en Repos</t>
  </si>
  <si>
    <t>Ingresos Diferidos Administración - M/L</t>
  </si>
  <si>
    <t>Patrimonio Neto</t>
  </si>
  <si>
    <t>Capital</t>
  </si>
  <si>
    <t>Capital Integrado</t>
  </si>
  <si>
    <t>Capital Suscripto</t>
  </si>
  <si>
    <t>(-) Capital a Integrar</t>
  </si>
  <si>
    <t>Reservas</t>
  </si>
  <si>
    <t>Otras Reservas</t>
  </si>
  <si>
    <t>Valuación de Acción en BVPASA</t>
  </si>
  <si>
    <t>Resultados</t>
  </si>
  <si>
    <t>Resultados Acumulados</t>
  </si>
  <si>
    <t>Resultados Acumulados 2021</t>
  </si>
  <si>
    <t>Resultado Del Ejercicio</t>
  </si>
  <si>
    <t>RESUMEN</t>
  </si>
  <si>
    <t>+Tabla1[[#Encabezados];[+Datos!B3]]</t>
  </si>
  <si>
    <t>ACTIVO</t>
  </si>
  <si>
    <t>PASIVO</t>
  </si>
  <si>
    <t>PATRIMONIO NETO</t>
  </si>
  <si>
    <t>RESULTADO DEL EJERCICIO</t>
  </si>
  <si>
    <t xml:space="preserve">ESTADOS DE RESULTADOS AL </t>
  </si>
  <si>
    <t>31/3/2022</t>
  </si>
  <si>
    <t>%</t>
  </si>
  <si>
    <t>OBSERVACIONES</t>
  </si>
  <si>
    <t>Ingresos</t>
  </si>
  <si>
    <t>Ingresos Operativos</t>
  </si>
  <si>
    <t>Ingresos Por Intermediacion</t>
  </si>
  <si>
    <t>Comisiones Por Intermediacion</t>
  </si>
  <si>
    <t>Bursatiles</t>
  </si>
  <si>
    <t>Extrabursatiles</t>
  </si>
  <si>
    <t>Aranceles Cobrados BVPASA</t>
  </si>
  <si>
    <t>Utilidad Por Venta De Inversiones/Cartera Propia</t>
  </si>
  <si>
    <t>Instrumentos Financieros</t>
  </si>
  <si>
    <t>Titulos De Deuda Bonos</t>
  </si>
  <si>
    <t>Titulos De Deuda CDA</t>
  </si>
  <si>
    <t>Ingresos Financieros</t>
  </si>
  <si>
    <t>Intereses caja de ahorro en entidades bancarias</t>
  </si>
  <si>
    <t>Intereses  Por Instrumentos Financieros - Bursatiles -</t>
  </si>
  <si>
    <t>Utilidad Por Diferencia De Cambio- Divisas</t>
  </si>
  <si>
    <t>Intereses  Por Instrumentos Financieros - Extra Bursatiles</t>
  </si>
  <si>
    <t>Intereses cobrados por Repos - Reportador</t>
  </si>
  <si>
    <t>Intereses Devengados - Portafolio Bursátil.</t>
  </si>
  <si>
    <t>Intereses Devengados - Portafolio Extra - Bursátil.</t>
  </si>
  <si>
    <t>Otros Ingresos Operativos</t>
  </si>
  <si>
    <t>Utilidad Por Operaciones Bursatiles</t>
  </si>
  <si>
    <t>Utilidad Por Operaciones Extrabursátiles</t>
  </si>
  <si>
    <t>Ingresos No Operativos</t>
  </si>
  <si>
    <t>Ingresos Extraordinarios</t>
  </si>
  <si>
    <t>Otros Ingresos Administrativos</t>
  </si>
  <si>
    <t>Egresos Operativos</t>
  </si>
  <si>
    <t>Gastos De Gestión De Operaciones</t>
  </si>
  <si>
    <t>Costo de Venta de Valores</t>
  </si>
  <si>
    <t>Fondo De Garantia Bvpasa</t>
  </si>
  <si>
    <t>Aranceles Pagados Bvpasa</t>
  </si>
  <si>
    <t>Costo de Venta de Bonos</t>
  </si>
  <si>
    <t>Costo de Venta de CDA</t>
  </si>
  <si>
    <t>Otros Gastos De Operaciones</t>
  </si>
  <si>
    <t>Perdidas Varias Operaciones</t>
  </si>
  <si>
    <t>Intereses Pagados sobre REPOS - Recompra</t>
  </si>
  <si>
    <t>Aranceles pagados a CNV</t>
  </si>
  <si>
    <t xml:space="preserve">Comisiones Pagadas Asesores Independientes </t>
  </si>
  <si>
    <t>Comisiones Pagadas a Otras entidades por intermediación</t>
  </si>
  <si>
    <t>Aranceles Pagados SEPRELAD</t>
  </si>
  <si>
    <t>Gastos De Ventas O Comercialización</t>
  </si>
  <si>
    <t>Otros Beneficios Al Personal de Ventas</t>
  </si>
  <si>
    <t>Publicidad Y Propaganda</t>
  </si>
  <si>
    <t>Gastos De Administración</t>
  </si>
  <si>
    <t>Sueldos Y Otras Remuneraciones Al Personal</t>
  </si>
  <si>
    <t>Sueldos Y Jornales</t>
  </si>
  <si>
    <t>Aporte Patronal</t>
  </si>
  <si>
    <t>Otros Beneficios Al Personal</t>
  </si>
  <si>
    <t>Aguinaldos</t>
  </si>
  <si>
    <t>Capacitacion Al Personal</t>
  </si>
  <si>
    <t>Uniformes Del Personal</t>
  </si>
  <si>
    <t>Remuneración Personal Superior</t>
  </si>
  <si>
    <t xml:space="preserve">Servicios Personales Independientes </t>
  </si>
  <si>
    <t>Servicios Prestados Por Terceros</t>
  </si>
  <si>
    <t>Honorarios Profesionales</t>
  </si>
  <si>
    <t>Servicios Contratados Ire</t>
  </si>
  <si>
    <t>Servicios Personales Irp</t>
  </si>
  <si>
    <t>Agua, Luz, Teléfono E Internet</t>
  </si>
  <si>
    <t>Movilidad Y Viaticos</t>
  </si>
  <si>
    <t>Reparaciones Y Mantenimientos</t>
  </si>
  <si>
    <t>Refrigerio Y Cafeteria</t>
  </si>
  <si>
    <t>Comunicaciones Y Progagandas</t>
  </si>
  <si>
    <t>Papeleria E Impresos</t>
  </si>
  <si>
    <t>Gastos No Deducibles</t>
  </si>
  <si>
    <t>Dominios Y Suscripciones</t>
  </si>
  <si>
    <t>Gastos administrativos</t>
  </si>
  <si>
    <t>Gastos De Escribania</t>
  </si>
  <si>
    <t>Gastos Informaticos</t>
  </si>
  <si>
    <t>Gastos De Impuestos</t>
  </si>
  <si>
    <t>Multas Y Sanciones</t>
  </si>
  <si>
    <t>Impuestos, Patentes, Tasas Y Otras Contr</t>
  </si>
  <si>
    <t>Gastos Bancarios Y Financieros</t>
  </si>
  <si>
    <t>Intereses Pagados A Entidades Bancarias</t>
  </si>
  <si>
    <t>Intereses Devengados - Otros</t>
  </si>
  <si>
    <t>Diferencia De Cambio</t>
  </si>
  <si>
    <t>Utilidad Por Diferencia De Cambio</t>
  </si>
  <si>
    <t>Perdida Por Diferencia De Cambio</t>
  </si>
  <si>
    <t>Depreciaciones Y Amortizaciones De Activ</t>
  </si>
  <si>
    <t>Depreciaciones Del Ejercicio</t>
  </si>
  <si>
    <t>Amortizaciones Del Ejercicio</t>
  </si>
  <si>
    <t xml:space="preserve">Resultado Del Ejercicio </t>
  </si>
  <si>
    <t>PERIODO ACTUAL 31/12/ 2022</t>
  </si>
  <si>
    <t>PERIODO ANTERIOR 31/12/2021</t>
  </si>
  <si>
    <t>TRADERS PRO CASA DE BOLSA S.A.</t>
  </si>
  <si>
    <t>PERIODO PRESENTACION</t>
  </si>
  <si>
    <t>Total al  31/12/2022</t>
  </si>
  <si>
    <t>Total al  30/12/2021</t>
  </si>
  <si>
    <t>ANEXO F DE LA RESOLUCION Nº 35/23</t>
  </si>
  <si>
    <t>COMPARADO CON</t>
  </si>
  <si>
    <t>Al 31/12/2022</t>
  </si>
  <si>
    <t>Al 31/12/2021</t>
  </si>
  <si>
    <t>Fecha Presentación:</t>
  </si>
  <si>
    <t>INDICE</t>
  </si>
  <si>
    <t>REF.</t>
  </si>
  <si>
    <t>I-INFORMACIÓN GENERAL DE INVESTOR CASA DE BOLSA SA</t>
  </si>
  <si>
    <t>II-ESTADOS FINANCIEROS BASICOS</t>
  </si>
  <si>
    <t>Balance General</t>
  </si>
  <si>
    <t xml:space="preserve">Balance Gral. Resol. </t>
  </si>
  <si>
    <t>Cuadro de Resultados</t>
  </si>
  <si>
    <t xml:space="preserve">Estado de Resultado Resol. </t>
  </si>
  <si>
    <t>Flujo de Efectivo</t>
  </si>
  <si>
    <t xml:space="preserve">Flujo de Efectivo </t>
  </si>
  <si>
    <t>Estado de Variacion Patrimonial</t>
  </si>
  <si>
    <t>Estado de Resultado Resol.</t>
  </si>
  <si>
    <t>Calculo de IRACIS</t>
  </si>
  <si>
    <t xml:space="preserve">CALCULO DE IRACIS </t>
  </si>
  <si>
    <t>Balance del Sistema</t>
  </si>
  <si>
    <t xml:space="preserve">Balance Final </t>
  </si>
  <si>
    <t>Informe del Sindico</t>
  </si>
  <si>
    <t>N/A</t>
  </si>
  <si>
    <t>Informe del Auditor Externo</t>
  </si>
  <si>
    <t>Memoria del Directorio</t>
  </si>
  <si>
    <t xml:space="preserve"> Notas a los Estados Contables</t>
  </si>
  <si>
    <t>Nota 1- Consideraciones de EEFF</t>
  </si>
  <si>
    <t>NOTA A LOS ESTADOS CONTABLES</t>
  </si>
  <si>
    <t>Nota 2 - Inforamacion de la Empresa</t>
  </si>
  <si>
    <t xml:space="preserve">NOTA A LOS ESTADOS CONTA. </t>
  </si>
  <si>
    <t>Nota 3 - Principales Politicas y Practicas Contables</t>
  </si>
  <si>
    <t>NOTA A LOS ESTADOS CONTA.</t>
  </si>
  <si>
    <t>Nota 4 - Cambio de Politicas y Proced. Contables</t>
  </si>
  <si>
    <t>Nota 5 - Criterios Especificos de Valuación</t>
  </si>
  <si>
    <t>a. Valuacion Moneda Extranjera</t>
  </si>
  <si>
    <t>NOTA 5 A-C CRITERIOS ESPECIF.</t>
  </si>
  <si>
    <t>b.Posición Moneda Extranjera</t>
  </si>
  <si>
    <t>c.Diferencia de cambio</t>
  </si>
  <si>
    <t>d. Disponibiliadades</t>
  </si>
  <si>
    <t>NOTA D - DISPONIBILIDADES</t>
  </si>
  <si>
    <t>e. Inversiones</t>
  </si>
  <si>
    <t>NOTA E - INVERSIONES</t>
  </si>
  <si>
    <t>f.Créditos</t>
  </si>
  <si>
    <t>NOTA F - CREDITOS</t>
  </si>
  <si>
    <t>g.Bienes de Cambio</t>
  </si>
  <si>
    <t>NOTA G BIENES DE USO</t>
  </si>
  <si>
    <t>h.Cargos Diferidos</t>
  </si>
  <si>
    <t>NOTA H CARGOS DIFERIDOS</t>
  </si>
  <si>
    <t>i. Bienes Intangibles</t>
  </si>
  <si>
    <t xml:space="preserve"> NOTA I INTANGIBLES</t>
  </si>
  <si>
    <t>j. Otros Activos</t>
  </si>
  <si>
    <t>NOTA J OTROS ACTIVOS CTES Y NO CORRIENTES</t>
  </si>
  <si>
    <t xml:space="preserve">k.Prestamos </t>
  </si>
  <si>
    <t>NOTA K PRESTAMOS</t>
  </si>
  <si>
    <t>l.Documentos y Ctas a Cobrar</t>
  </si>
  <si>
    <t>NOTA L DOCUMENTOS Y CTAS A PAGAR</t>
  </si>
  <si>
    <t>m.Acreedores por Intermediación</t>
  </si>
  <si>
    <t>NOTAS M-Q ACREEDORES CTO PLAZO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</si>
  <si>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</si>
  <si>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</si>
  <si>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</si>
  <si>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</si>
  <si>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</si>
  <si>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 xml:space="preserve">NOTA R SALDOS Y TRANSACCIONES </t>
  </si>
  <si>
    <t>s. Resultados con Relacionadas</t>
  </si>
  <si>
    <t>NOTA S RESULTADOS CON PERSONAS</t>
  </si>
  <si>
    <t>t.Patrimonio</t>
  </si>
  <si>
    <t xml:space="preserve"> NOTA T PATRIMONIO</t>
  </si>
  <si>
    <t>u. Previsiones</t>
  </si>
  <si>
    <t>v.Ingresos Operativos</t>
  </si>
  <si>
    <t>NOTA V INGRESOS OPERATIVOS</t>
  </si>
  <si>
    <t>w.Otros Gastos Operativos</t>
  </si>
  <si>
    <t>NOTA W OTROS GASTOS OPERATIVOS</t>
  </si>
  <si>
    <t>x. Otros Ingresos y Egresos</t>
  </si>
  <si>
    <t>NOTA X OTROS INGRESOS Y EGRESOS</t>
  </si>
  <si>
    <t>y. Resultados Financieros</t>
  </si>
  <si>
    <t>NOTA Y RESULTADOS FINANCIEROS</t>
  </si>
  <si>
    <t>z. Resultados Extraordinarios</t>
  </si>
  <si>
    <t>NOTA Z RESULT EXTRAORD</t>
  </si>
  <si>
    <t>Nota 6- Información Referente a Contingencias</t>
  </si>
  <si>
    <t>NOTA 6 INFORMACION REFERENTE</t>
  </si>
  <si>
    <t>a.Compromisios Directos</t>
  </si>
  <si>
    <t>b.Contingencias Legales</t>
  </si>
  <si>
    <t>c.Garantías Constituidas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</si>
  <si>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</si>
  <si>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</si>
  <si>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</si>
  <si>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</si>
  <si>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</si>
  <si>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INFORMACION GENERAL DE LA ENTIDAD</t>
  </si>
  <si>
    <t>1. IDENTIFICACIÓN:</t>
  </si>
  <si>
    <t>Nombre o Razón social</t>
  </si>
  <si>
    <t>Traders Pro Casa de Bolsa S.A.</t>
  </si>
  <si>
    <t>Registro CNV</t>
  </si>
  <si>
    <t>CERTIFICADO DE REGISTRO N° 062 _03082021</t>
  </si>
  <si>
    <t>Código Bolsa</t>
  </si>
  <si>
    <t>Dirección oficina principal</t>
  </si>
  <si>
    <t>Avda. Brasilia 764. Edificio Investor. 1er. Piso</t>
  </si>
  <si>
    <t>Teléfono</t>
  </si>
  <si>
    <t xml:space="preserve"> +59521 7289737 Int 510 / +595981977094</t>
  </si>
  <si>
    <t>E-mail</t>
  </si>
  <si>
    <t>directorio@traderspro.com.py</t>
  </si>
  <si>
    <t>Sitio página web</t>
  </si>
  <si>
    <t>www.traderspro.com.py</t>
  </si>
  <si>
    <t>Domicilio legal</t>
  </si>
  <si>
    <t>2. ANTECEDENTES DE CONSTITUCIÓN DE LA SOCIEDAD</t>
  </si>
  <si>
    <t>Escritura Nº 10 Fecha 16 de Abril del 2021</t>
  </si>
  <si>
    <t xml:space="preserve">Inscripción en el registro público de personas jurídicas matricula Nº 34473 y de la sección comercio matricula Nº 34475 ambas en fecha 07 de Mayo del 2021 </t>
  </si>
  <si>
    <t>3. ADMINISTRACIÓN</t>
  </si>
  <si>
    <t>CARGO</t>
  </si>
  <si>
    <t>NOMBRE Y APELLIDO</t>
  </si>
  <si>
    <t>Presidente</t>
  </si>
  <si>
    <t>Giuseppe Antonio Saurini Buey</t>
  </si>
  <si>
    <t>Director titular</t>
  </si>
  <si>
    <t>Diego Benjamin Barboza Clari</t>
  </si>
  <si>
    <t>Cesar Fernando Godoy Gimenez</t>
  </si>
  <si>
    <t xml:space="preserve">Síndico </t>
  </si>
  <si>
    <t>Ysaias Lopez Gomez</t>
  </si>
  <si>
    <t>4. CAPITAL Y PROPIEDAD</t>
  </si>
  <si>
    <t xml:space="preserve">Capital Social (de acuerdo al artículo 6 de los estatutos sociales) Gs.15.000.000.000 </t>
  </si>
  <si>
    <t>Representado por Gs.1.000.000 cada acción nominativa ordinaria</t>
  </si>
  <si>
    <t>Capital Emitido G.5.000.000.000 (cinco mil millones)</t>
  </si>
  <si>
    <t>Capital Suscripto G.5.000.000.000 (cinco mil millones)</t>
  </si>
  <si>
    <t>Capital Integrado G.3.805.000.000 (tres mil ochocientos cinco millones)</t>
  </si>
  <si>
    <t>Valor nominal de las acciones G.1.000.000</t>
  </si>
  <si>
    <t>CUADRO DE CAPITAL INTEGRADO</t>
  </si>
  <si>
    <t>Nº</t>
  </si>
  <si>
    <t>ACCIONISTA</t>
  </si>
  <si>
    <t>SERIE</t>
  </si>
  <si>
    <t>NÚMERO DE ACCIONES</t>
  </si>
  <si>
    <t>CANTIDAD DE ACCIONES</t>
  </si>
  <si>
    <t>CLASE</t>
  </si>
  <si>
    <t>VOTO</t>
  </si>
  <si>
    <t>MONTO</t>
  </si>
  <si>
    <t>% DE PARTICIPACIÓN DEL CAPITAL INTEGRADO</t>
  </si>
  <si>
    <t>INCUBATE S.A.</t>
  </si>
  <si>
    <t>---</t>
  </si>
  <si>
    <t>1-2384; 2485-3355; 4751-4800</t>
  </si>
  <si>
    <t>Ordinaria</t>
  </si>
  <si>
    <t>1 por acción</t>
  </si>
  <si>
    <t>4551-4750</t>
  </si>
  <si>
    <t>4801-4850</t>
  </si>
  <si>
    <t>Ana Cristina Neffa Persano</t>
  </si>
  <si>
    <t>4851-4900</t>
  </si>
  <si>
    <t>Celso Ivan Casamayouret Genes</t>
  </si>
  <si>
    <t>4901-4950</t>
  </si>
  <si>
    <t>Adrian Aponte Rivas</t>
  </si>
  <si>
    <t>4951-5000</t>
  </si>
  <si>
    <t>Patricia Raquel Boettner Friedmann</t>
  </si>
  <si>
    <t>2435-2484</t>
  </si>
  <si>
    <t>2385-2434</t>
  </si>
  <si>
    <t>CUADRO DEL CAPITAL SUSCRIPTO</t>
  </si>
  <si>
    <t>% DE PARTICIPACIÓN DEL CAPITAL SUSCRIPTO</t>
  </si>
  <si>
    <t>1-2384 ; 2485-4550; 4751-4800</t>
  </si>
  <si>
    <t>5. AUDITOR EXTERNO INDEPENDIENTE</t>
  </si>
  <si>
    <t>1. Auditor externo independiente designado: HP Auditores &amp; Contadores</t>
  </si>
  <si>
    <t>2. Número de inscripción en le registro de la CNV: AE052, según Res CNV Nº 15 E/17</t>
  </si>
  <si>
    <t>6. PERSONAS VINCULAS</t>
  </si>
  <si>
    <t xml:space="preserve">          Personas Vinculadas</t>
  </si>
  <si>
    <t>Síndico</t>
  </si>
  <si>
    <t>Auditor interno</t>
  </si>
  <si>
    <t>Mirtha Patricia Páez Gonzalez</t>
  </si>
  <si>
    <t xml:space="preserve">          Vinculada controlante</t>
  </si>
  <si>
    <t>Denominación</t>
  </si>
  <si>
    <t>Domicilio</t>
  </si>
  <si>
    <t>Av. Brasilia 764. 1º Piso</t>
  </si>
  <si>
    <t>Actividad principal</t>
  </si>
  <si>
    <t>Otras actividades de servicio de apoyo a empresas</t>
  </si>
  <si>
    <t>Participación en el capital</t>
  </si>
  <si>
    <t>Porcentaje de votos</t>
  </si>
  <si>
    <t>BALANCE GENERAL</t>
  </si>
  <si>
    <t>1 01</t>
  </si>
  <si>
    <t>CORRESPONDIENTE AL 31 DE DICIEMBRE DE 2022 PRESENTADO EN FORMA COMPARATIVA CON EL EJERCICIO ECONOMICO ANTERIOR  AL  31 DE DICIEMBRE DE  2021.</t>
  </si>
  <si>
    <t>1 01 01</t>
  </si>
  <si>
    <t xml:space="preserve"> (Expresado en Guaraníes)</t>
  </si>
  <si>
    <t>PERIODO ANT  31/12/ 2021</t>
  </si>
  <si>
    <t>PERIODO ANT 31/12/ 2021</t>
  </si>
  <si>
    <t>1 01 01 01</t>
  </si>
  <si>
    <t xml:space="preserve">ACTIVO CORRIENTE </t>
  </si>
  <si>
    <t>PASIVO CORRIENTE</t>
  </si>
  <si>
    <t>1 01 01 03</t>
  </si>
  <si>
    <t>DISPONIBILIDADES Nota 5 d</t>
  </si>
  <si>
    <t>DOCUMENTOS Y CUENTAS A PAGAR</t>
  </si>
  <si>
    <t>Caja</t>
  </si>
  <si>
    <t>Acreedores por Intermediación. Nota 5 m</t>
  </si>
  <si>
    <t>Recaudaciones a Depositar</t>
  </si>
  <si>
    <t>Acreedores Varios  - Nota 5 l</t>
  </si>
  <si>
    <t>Bancos</t>
  </si>
  <si>
    <t>Cuentas por Pagar a Personas y Emp. Relacionadas. Nota o</t>
  </si>
  <si>
    <t>Obligaciones  por Contratos de Underwriting -Nota 5 p</t>
  </si>
  <si>
    <t>Obligaciones por Administracion de Carteras Nota 5 n</t>
  </si>
  <si>
    <t>1 01 03</t>
  </si>
  <si>
    <t>INVERSIONES TEMPORARIAS  Nota 5 e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</si>
  <si>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</si>
  <si>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</si>
  <si>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</si>
  <si>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</si>
  <si>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</si>
  <si>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</si>
  <si>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</si>
  <si>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</si>
  <si>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</si>
  <si>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PROVISIONES.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</si>
  <si>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</si>
  <si>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</si>
  <si>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</si>
  <si>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</si>
  <si>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</si>
  <si>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</si>
  <si>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</si>
  <si>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</si>
  <si>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</si>
  <si>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</si>
  <si>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</si>
  <si>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</si>
  <si>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</si>
  <si>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</si>
  <si>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</si>
  <si>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</si>
  <si>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 - Nota 5 q</t>
  </si>
  <si>
    <t>1 01 15</t>
  </si>
  <si>
    <t>GASTOS NO DEVENGADOS - Nota 5 h</t>
  </si>
  <si>
    <t>1 01 15 02</t>
  </si>
  <si>
    <t xml:space="preserve">Intereses a Vencer - </t>
  </si>
  <si>
    <t>Prestamos de Terceros</t>
  </si>
  <si>
    <t>1 01 15 03</t>
  </si>
  <si>
    <t xml:space="preserve">Seguros a Vencer  </t>
  </si>
  <si>
    <t>Dividendos a Pagar</t>
  </si>
  <si>
    <t>2 01 15 03</t>
  </si>
  <si>
    <t>Otros Activos</t>
  </si>
  <si>
    <t>Otros Pasivos Corrientes</t>
  </si>
  <si>
    <t>1 01 20</t>
  </si>
  <si>
    <t>TOTAL ACTIVO CORRIENTE</t>
  </si>
  <si>
    <t>TOTAL PASIVO CORRIENTE</t>
  </si>
  <si>
    <t>1 01 20 01</t>
  </si>
  <si>
    <t>ACTIVO NO CORRIENTE</t>
  </si>
  <si>
    <t>PASIVOS NO CORRIENTE</t>
  </si>
  <si>
    <t>1 01 20 02</t>
  </si>
  <si>
    <t>INVERSIONES PERMANENTES Nota 5 e</t>
  </si>
  <si>
    <t>Titulo de Renta Fija</t>
  </si>
  <si>
    <t>Acciones en la Bolsa de Valores</t>
  </si>
  <si>
    <t>Otros Valores</t>
  </si>
  <si>
    <t>1 02</t>
  </si>
  <si>
    <t xml:space="preserve">Instrumentos Financieros Cedidos </t>
  </si>
  <si>
    <t>1 02 01</t>
  </si>
  <si>
    <t>1 02 01 09</t>
  </si>
  <si>
    <t>Préstamos en Bancos</t>
  </si>
  <si>
    <t>1 02 02</t>
  </si>
  <si>
    <t>1 02 02 01</t>
  </si>
  <si>
    <t>Deudores por Gestion en Cobro</t>
  </si>
  <si>
    <t>PREVISIONES</t>
  </si>
  <si>
    <t>1 02 02 02</t>
  </si>
  <si>
    <t>Prevision para Indeminzacion</t>
  </si>
  <si>
    <t>1 02 02 03</t>
  </si>
  <si>
    <t>Otras Contingencias</t>
  </si>
  <si>
    <t>Otros Pasivos No Corrientes</t>
  </si>
  <si>
    <t>1 02 10</t>
  </si>
  <si>
    <t>TOTAL PASIVO NO CORRIENTE</t>
  </si>
  <si>
    <t>BIENES DE USO Nota 5 g</t>
  </si>
  <si>
    <t>TOTAL PASIVO</t>
  </si>
  <si>
    <t>Bienes en operación</t>
  </si>
  <si>
    <t>PATRIMONIO NETO  Nota 5 t</t>
  </si>
  <si>
    <t>Depreciación acumulada</t>
  </si>
  <si>
    <t>CAPITAL</t>
  </si>
  <si>
    <t>Capital realizado</t>
  </si>
  <si>
    <t>ACTIVOS INTANGIBLES  Nota 5 i</t>
  </si>
  <si>
    <t>Aportes para Futuras Integraciones</t>
  </si>
  <si>
    <t>Licencias</t>
  </si>
  <si>
    <t>Marcas</t>
  </si>
  <si>
    <t>RESERVAS</t>
  </si>
  <si>
    <t>Membresia BVPASA</t>
  </si>
  <si>
    <t>Reserva Legal</t>
  </si>
  <si>
    <t>Sistemas Informaticos</t>
  </si>
  <si>
    <t>Reserva de revalúo</t>
  </si>
  <si>
    <t>Menos: Amortización Acumulada</t>
  </si>
  <si>
    <t>Utilidad por valuación BVPSA</t>
  </si>
  <si>
    <t>1 02 10 01</t>
  </si>
  <si>
    <t>1 02 10 02</t>
  </si>
  <si>
    <t>GASTOS NO DEVENGADOS - Nota 5 j</t>
  </si>
  <si>
    <t xml:space="preserve">Garantía de Alquiler  </t>
  </si>
  <si>
    <t>1 02 20</t>
  </si>
  <si>
    <t>Gastos de Constitución</t>
  </si>
  <si>
    <t>1 02 20 01</t>
  </si>
  <si>
    <t>Seguros Pagados por Adelantado</t>
  </si>
  <si>
    <t>Resultado del Ejercicio</t>
  </si>
  <si>
    <t>1 02 20 02</t>
  </si>
  <si>
    <t>1 02 20 03</t>
  </si>
  <si>
    <t>TOTAL ACTIVOS NO CORRIENTES</t>
  </si>
  <si>
    <t>TOTAL PATRIMONIO NETO</t>
  </si>
  <si>
    <t>TOTAL ACTIVOS</t>
  </si>
  <si>
    <t>TOTAL PASIVO Y PATRIMONIO NETO</t>
  </si>
  <si>
    <t>1 02 30</t>
  </si>
  <si>
    <t>1 02 30 01</t>
  </si>
  <si>
    <t>1 02 30 02</t>
  </si>
  <si>
    <t>Las 25 notas que acompañan forman parte integrante de los Estados Financieros.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</si>
  <si>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</si>
  <si>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</si>
  <si>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</si>
  <si>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</si>
  <si>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</si>
  <si>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</si>
  <si>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</si>
  <si>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</si>
  <si>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</si>
  <si>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</si>
  <si>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</si>
  <si>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</si>
  <si>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</si>
  <si>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</si>
  <si>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</si>
  <si>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</si>
  <si>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</si>
  <si>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</si>
  <si>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</si>
  <si>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</si>
  <si>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</si>
  <si>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</si>
  <si>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</si>
  <si>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</si>
  <si>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</si>
  <si>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</si>
  <si>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</si>
  <si>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</si>
  <si>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</si>
  <si>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</si>
  <si>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</si>
  <si>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</si>
  <si>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</si>
  <si>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</si>
  <si>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</si>
  <si>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CORRESPONDIENTE AL 31 DE DICIEMBRE DE 2022 PRESENTADO EN FORMA COMPARATIVA CON EL 31 DE DICIEMBRE DE 2021</t>
  </si>
  <si>
    <t>(Expresado en guaraníes)</t>
  </si>
  <si>
    <t>Ingresos Operativos -Nota v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</si>
  <si>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</si>
  <si>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</si>
  <si>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</si>
  <si>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</si>
  <si>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</si>
  <si>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</si>
  <si>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</si>
  <si>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</si>
  <si>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</si>
  <si>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Administracion de Carteras</t>
  </si>
  <si>
    <t>Ingresos por Custodia de Valores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</si>
  <si>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</si>
  <si>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</si>
  <si>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</si>
  <si>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</si>
  <si>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</si>
  <si>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Ingresos por Operaciones y Servicios Extrabursatiles</t>
  </si>
  <si>
    <t>Ganancia por Venta de Titulos - Bonos</t>
  </si>
  <si>
    <t>Dividendos  Cobrados</t>
  </si>
  <si>
    <t>Otros Ingresos</t>
  </si>
  <si>
    <t>Gastos Operativos -Nota w</t>
  </si>
  <si>
    <t>Gastos por Comisiones y Servicios</t>
  </si>
  <si>
    <t>Aranceles por negociación Bolsa de Valores</t>
  </si>
  <si>
    <t>Otros Costos de Operaciones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</si>
  <si>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</si>
  <si>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</si>
  <si>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</si>
  <si>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</si>
  <si>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</si>
  <si>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Resultado Operativo Neto</t>
  </si>
  <si>
    <t>Otros ingresos y Egresos - Nota x</t>
  </si>
  <si>
    <t>Otros Egresos</t>
  </si>
  <si>
    <t>Resultados financieros - Nota y</t>
  </si>
  <si>
    <t>Generados por Activos</t>
  </si>
  <si>
    <t>Intereses cobrados</t>
  </si>
  <si>
    <t>Diferencia de Cambio</t>
  </si>
  <si>
    <t>Generados por Pasivos</t>
  </si>
  <si>
    <t>Intereses pagados</t>
  </si>
  <si>
    <t>Resultados  extraordinarias Nota z</t>
  </si>
  <si>
    <t>Ganancias</t>
  </si>
  <si>
    <t>Pérdidas</t>
  </si>
  <si>
    <t>Ajuste de Resultados de Ejercicios Anteriores</t>
  </si>
  <si>
    <t>Egresos</t>
  </si>
  <si>
    <t xml:space="preserve">Ganancias (o pérdidas) </t>
  </si>
  <si>
    <t>Impuesto a la Renta</t>
  </si>
  <si>
    <t>FLUJO DE EFECTIVO</t>
  </si>
  <si>
    <t>(+) Debe</t>
  </si>
  <si>
    <t>(+) Entrada Efectivo</t>
  </si>
  <si>
    <t>(-) Haber</t>
  </si>
  <si>
    <t>(-) Salida de Dinero</t>
  </si>
  <si>
    <t>ACTIVIDADES</t>
  </si>
  <si>
    <t>ACTIVIDADES DE</t>
  </si>
  <si>
    <t>CUENTAS</t>
  </si>
  <si>
    <t>BALANCE   Y</t>
  </si>
  <si>
    <t>ELIMINACIONES</t>
  </si>
  <si>
    <t>VARIACIÓN</t>
  </si>
  <si>
    <t>ACTIVIDADES DE OPERACIÓN</t>
  </si>
  <si>
    <t>DE INVERSION</t>
  </si>
  <si>
    <t>FINANCIAMIENTOS</t>
  </si>
  <si>
    <t>TOTAL</t>
  </si>
  <si>
    <t>RESULTADOS</t>
  </si>
  <si>
    <t>DEBITOS</t>
  </si>
  <si>
    <t>RECIBIDO DE</t>
  </si>
  <si>
    <t>OTROS</t>
  </si>
  <si>
    <t>PAGOS PROVEED.</t>
  </si>
  <si>
    <t>PAGOS IMP</t>
  </si>
  <si>
    <t xml:space="preserve">PAGO A </t>
  </si>
  <si>
    <t>COBROS (PAGOS)</t>
  </si>
  <si>
    <t>(USADOS)</t>
  </si>
  <si>
    <t>CREDITOS</t>
  </si>
  <si>
    <t>AL  31/12/2021</t>
  </si>
  <si>
    <t>(CREDITOS)</t>
  </si>
  <si>
    <t>CLIENTES</t>
  </si>
  <si>
    <t>BENEFICIOS</t>
  </si>
  <si>
    <t>P/MERCAD.</t>
  </si>
  <si>
    <t>RENTA</t>
  </si>
  <si>
    <t>EMPLEADOS</t>
  </si>
  <si>
    <t>ENTES RELACIONADOS</t>
  </si>
  <si>
    <t>PROVISTOS</t>
  </si>
  <si>
    <t xml:space="preserve">ACTIVO </t>
  </si>
  <si>
    <t>DISPONIBILIDADES</t>
  </si>
  <si>
    <t xml:space="preserve">CREDITOS FISCALES </t>
  </si>
  <si>
    <t>ANTICIPO DE IRACIS</t>
  </si>
  <si>
    <t>DEUDORES POR INTERMEDIACION</t>
  </si>
  <si>
    <t>DEUDORES VARIOS Y OTROS CREDITOS</t>
  </si>
  <si>
    <t xml:space="preserve">(PREVISIÓN P/ INCOBRABLES)   </t>
  </si>
  <si>
    <t>INVERSIONES EN VALORES PUBLICOS Y PRIVADOS</t>
  </si>
  <si>
    <t xml:space="preserve">INVERSIONES EN OTRAS EMPRESAS </t>
  </si>
  <si>
    <t xml:space="preserve">BIENES DE USO                           </t>
  </si>
  <si>
    <t xml:space="preserve">(DEPRE. ACUMULADAS)              </t>
  </si>
  <si>
    <t>BIENES INTANGIBLES</t>
  </si>
  <si>
    <t>(AMORTIZACION DE INTANGIBLES)</t>
  </si>
  <si>
    <t xml:space="preserve">GASTOS DIFERIDOS </t>
  </si>
  <si>
    <t>GASTOS NO DEVENGADOS</t>
  </si>
  <si>
    <t>TOTAL ACTIVO</t>
  </si>
  <si>
    <t xml:space="preserve">PASIVO  </t>
  </si>
  <si>
    <t xml:space="preserve">PRESTAMOS EN BANCOS              </t>
  </si>
  <si>
    <t xml:space="preserve">ACREEDORES POR INTERMEDIACION                               </t>
  </si>
  <si>
    <t>OTRAS DEUDAS (NO INCLUIDAS ANTERIORMENTE)</t>
  </si>
  <si>
    <t>INGRESOS DIFERIDOS NO DEVENGADOS</t>
  </si>
  <si>
    <t>DIVIDENDOS A DISTRIBUIR</t>
  </si>
  <si>
    <t>IMPUESTO A LA RENTA A PAGAR</t>
  </si>
  <si>
    <t>SUELDOS A PAGAR Y EMPRESAS RELACIONADAS</t>
  </si>
  <si>
    <t>CAPITAL INTEGRADO</t>
  </si>
  <si>
    <t>APORTE A FUTURA CAPITALIZACION(EFECTIVO)</t>
  </si>
  <si>
    <t>RESERVA DE REVALUO</t>
  </si>
  <si>
    <t>RESERVA LEGAL</t>
  </si>
  <si>
    <t>REVALUO BVPASA</t>
  </si>
  <si>
    <t>RESULTADOS  ACUMULADOS</t>
  </si>
  <si>
    <t>RETIRO A CTA DE UTILIDADES</t>
  </si>
  <si>
    <t>UTILIDADES DEL EJERCICIO</t>
  </si>
  <si>
    <t>ESTADO DE RESUTADO</t>
  </si>
  <si>
    <t>INGRESOS POR INTERMEDIACION Y COMISIONES (OPERATIVOS)</t>
  </si>
  <si>
    <t>OTROS INGRESOS OPERATIVOS</t>
  </si>
  <si>
    <t>INTERESES DEVENGADOS POSITIVO</t>
  </si>
  <si>
    <t>DIVIDENDOS COBRADOS</t>
  </si>
  <si>
    <t>COSTO DE VENTAS</t>
  </si>
  <si>
    <t>SUELDOS Y JORNALES</t>
  </si>
  <si>
    <t>DEVENGADOS NEGATIVOS</t>
  </si>
  <si>
    <t>GASTOS GENERALES</t>
  </si>
  <si>
    <t>DEPRECIACIÓN Y AMORTIZACION DEL EJERCICIO</t>
  </si>
  <si>
    <t>SEGUROS</t>
  </si>
  <si>
    <t>INTERESES PAGADOS Y DEVENGADOS REPOS</t>
  </si>
  <si>
    <t xml:space="preserve">IMPUESTO A LA RENTA  </t>
  </si>
  <si>
    <t>Producto de la Venta de B. Uso</t>
  </si>
  <si>
    <t>Flujos de Efectivo por Actividades de Operación</t>
  </si>
  <si>
    <t>Efectivo Recibido de Clientes</t>
  </si>
  <si>
    <t>Efectivo Recibido por Otros Beneficios</t>
  </si>
  <si>
    <t xml:space="preserve">Efectivo pagado a Proveedores </t>
  </si>
  <si>
    <t>Efectivo pagado a Empleados</t>
  </si>
  <si>
    <t>Otros pagos y cobros</t>
  </si>
  <si>
    <t>Inversiones en Otras Empresas</t>
  </si>
  <si>
    <t>Producto de la Venta de Bienes de Uso</t>
  </si>
  <si>
    <t>Adquisicion de acciones y titulos de deuda</t>
  </si>
  <si>
    <t>Intereses percibidos</t>
  </si>
  <si>
    <t>Dividendos percibidos</t>
  </si>
  <si>
    <t>Efectivo neto provisto (usado) por Actividades de inversion</t>
  </si>
  <si>
    <t>Flujos de Efectivo por Actividades de Financiamiento</t>
  </si>
  <si>
    <t>Préstamos bancarios</t>
  </si>
  <si>
    <t>Dividendos pagados</t>
  </si>
  <si>
    <t>Proveniente de emisión de acciones</t>
  </si>
  <si>
    <t>Efectivo neto provisto (usado) por Actividades de Financiamiento</t>
  </si>
  <si>
    <t>Aumento (disminución) de efectivo y equivalente de efectivo</t>
  </si>
  <si>
    <t>Efectivo y equivalentes de efectivo al inicio</t>
  </si>
  <si>
    <t>Efectivo y equivalentes de efectivo al final de periodo</t>
  </si>
  <si>
    <t>ESTADO DE FLUJO DE EFECTIVO</t>
  </si>
  <si>
    <t>CORRESPONDIENTE AL 31 DE DICIEMBRE DE 2022 PRESENTADO EN FORMA COMPARATIVA CON EL 31  DE DICIEMBRE DE 2021</t>
  </si>
  <si>
    <t>Flujo de efectivo por las actividades operativas</t>
  </si>
  <si>
    <t>Ingreso en efectivo de comisiones y otros ingresos operativos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</si>
  <si>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</si>
  <si>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</si>
  <si>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</si>
  <si>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</si>
  <si>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</si>
  <si>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</si>
  <si>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</si>
  <si>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</si>
  <si>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</si>
  <si>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</si>
  <si>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</si>
  <si>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</si>
  <si>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Inversiones Temporarias/Permanentes</t>
  </si>
  <si>
    <t>Fondos con destino especial</t>
  </si>
  <si>
    <t xml:space="preserve"> -   </t>
  </si>
  <si>
    <t>Compra de propiedad, planta y equipo</t>
  </si>
  <si>
    <t>Efectivo Neto por (o usado) en actividades de inversión</t>
  </si>
  <si>
    <t>Flujo de efectivo por actividades de financiamiento</t>
  </si>
  <si>
    <t>Aportes de capital</t>
  </si>
  <si>
    <t>Provenientes de Préstamos y Otras Deudas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</si>
  <si>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</si>
  <si>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</si>
  <si>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</si>
  <si>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</si>
  <si>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</si>
  <si>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</si>
  <si>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CORRESPONDIENTE AL 31  DE DICIEMBRE DE 2022 PRESENTADO EN FORMA COMPARATIVA CON EL 31 DE DICIEMBRE DE 2021</t>
  </si>
  <si>
    <t>AP. FUT. INTEGRAC.</t>
  </si>
  <si>
    <t>INTEGRADO</t>
  </si>
  <si>
    <t>LEGAL</t>
  </si>
  <si>
    <t>REVALORIZAC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</si>
  <si>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</si>
  <si>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</si>
  <si>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</si>
  <si>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</si>
  <si>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</si>
  <si>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</si>
  <si>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</si>
  <si>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</si>
  <si>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</si>
  <si>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</si>
  <si>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</si>
  <si>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 xml:space="preserve">NOTAS A LOS ESTADOS CONTABLES </t>
  </si>
  <si>
    <t>NOTA 1: CONSIDERACION DE LOS ESTADOS CONTABLES</t>
  </si>
  <si>
    <r>
      <t xml:space="preserve">Los Estados Contables trimestrales (Balance General, Estado de Resultados, Estado de Flujo de Efectivo y Estado de Variación del Patrimonio Neto) correspondientes </t>
    </r>
    <r>
      <rPr>
        <b/>
        <sz val="9"/>
        <rFont val="Calibri"/>
        <family val="2"/>
        <scheme val="minor"/>
      </rPr>
      <t>al 31 de diciembre de 2022</t>
    </r>
    <r>
      <rPr>
        <sz val="9"/>
        <rFont val="Calibri"/>
        <family val="2"/>
        <scheme val="minor"/>
      </rPr>
      <t xml:space="preserve"> han sido considerados y aprobados según </t>
    </r>
    <r>
      <rPr>
        <b/>
        <sz val="9"/>
        <rFont val="Calibri"/>
        <family val="2"/>
        <scheme val="minor"/>
      </rPr>
      <t xml:space="preserve">Acta de Directorio </t>
    </r>
    <r>
      <rPr>
        <b/>
        <sz val="9"/>
        <color theme="5"/>
        <rFont val="Calibri (Cuerpo)"/>
      </rPr>
      <t>N° ... /...., de fecha ......-</t>
    </r>
  </si>
  <si>
    <t>NOTA 2:  INFORMACIÓN BÁSICA DE LA EMPRESA</t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</si>
  <si>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</si>
  <si>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TRADERS PRO CASA DE BOLSA S.A</t>
    </r>
    <r>
      <rPr>
        <sz val="9"/>
        <color indexed="8"/>
        <rFont val="Calibri"/>
        <family val="2"/>
        <scheme val="minor"/>
      </rPr>
      <t xml:space="preserve">. </t>
    </r>
    <r>
      <rPr>
        <b/>
        <i/>
        <sz val="9"/>
        <color rgb="FF000000"/>
        <rFont val="Calibri"/>
        <family val="2"/>
        <scheme val="minor"/>
      </rPr>
      <t>fue constituida bajo la forma jurídica de Sociedad Anónima, el 16 de Abril de 2021,</t>
    </r>
    <r>
      <rPr>
        <sz val="9"/>
        <color indexed="8"/>
        <rFont val="Calibri"/>
        <family val="2"/>
        <scheme val="minor"/>
      </rPr>
      <t xml:space="preserve"> según escritura Pública Nº 10 e inscripta en el Registro Público de Comercio en el Libro Seccional respectivo y bajo en Nº 1 Y el folio Nº 9 y siguiente de fecha 07 de Mayo de 2021. La Sociedad se halla regida por las disposiciones de sus Estatutos, las Normas Legales y Reglamentarias relativas a la Sociedad y al Código Civil. La duración inicial de la Sociedad es de noventa y nueve años.</t>
    </r>
  </si>
  <si>
    <r>
      <t xml:space="preserve">Inscripta en la Comisión Nacional de Valores según Certificado de Registro N° 062-0308202 </t>
    </r>
    <r>
      <rPr>
        <b/>
        <i/>
        <sz val="9"/>
        <color theme="1"/>
        <rFont val="Calibri"/>
        <family val="2"/>
        <scheme val="minor"/>
      </rPr>
      <t>de fecha 03 de agosto de 2021</t>
    </r>
    <r>
      <rPr>
        <i/>
        <sz val="9"/>
        <color theme="1"/>
        <rFont val="Calibri"/>
        <family val="2"/>
        <scheme val="minor"/>
      </rPr>
      <t xml:space="preserve"> y en la Bolsa de Valores y Productos de Asunción S.A. según resolución 2.261/21 de fecha</t>
    </r>
    <r>
      <rPr>
        <b/>
        <i/>
        <sz val="9"/>
        <color theme="1"/>
        <rFont val="Calibri"/>
        <family val="2"/>
        <scheme val="minor"/>
      </rPr>
      <t xml:space="preserve"> 11 de agosto de 2021</t>
    </r>
    <r>
      <rPr>
        <i/>
        <sz val="9"/>
        <color theme="1"/>
        <rFont val="Calibri"/>
        <family val="2"/>
        <scheme val="minor"/>
      </rPr>
      <t>, bajo el número 021.</t>
    </r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</si>
  <si>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</si>
  <si>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</si>
  <si>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</si>
  <si>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</si>
  <si>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</si>
  <si>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</si>
  <si>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</si>
  <si>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</si>
  <si>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</si>
  <si>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</si>
  <si>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</si>
  <si>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</si>
  <si>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 xml:space="preserve">Incubate . S.A. posee Acciones de la Empresa Traders Pro CBSA , constituida en Asunción-Paraguay, por valor de </t>
    </r>
    <r>
      <rPr>
        <b/>
        <sz val="9"/>
        <color theme="1"/>
        <rFont val="Calibri"/>
        <family val="2"/>
        <scheme val="minor"/>
      </rPr>
      <t>Gs.4.450.000.000</t>
    </r>
    <r>
      <rPr>
        <sz val="9"/>
        <color theme="1"/>
        <rFont val="Calibri"/>
        <family val="2"/>
        <scheme val="minor"/>
      </rPr>
      <t xml:space="preserve"> que representan el </t>
    </r>
    <r>
      <rPr>
        <b/>
        <sz val="9"/>
        <color theme="1"/>
        <rFont val="Calibri"/>
        <family val="2"/>
        <scheme val="minor"/>
      </rPr>
      <t xml:space="preserve">89% </t>
    </r>
    <r>
      <rPr>
        <sz val="9"/>
        <color theme="1"/>
        <rFont val="Calibri"/>
        <family val="2"/>
        <scheme val="minor"/>
      </rPr>
      <t>del Capital Social. –</t>
    </r>
  </si>
  <si>
    <t>NOTA 3: PRINCIPALES POLÍTICAS Y PRÁCTICAS CONTABLES APLICADAS</t>
  </si>
  <si>
    <t>3.1.  Base de preparación de los estados contables</t>
  </si>
  <si>
    <r>
      <t xml:space="preserve">Los estados Contables han sido preparados de acuerdo a la Resolución Nro. 35/23 de la Comisión Nacional de Valores, </t>
    </r>
    <r>
      <rPr>
        <b/>
        <sz val="9"/>
        <color theme="1"/>
        <rFont val="Calibri"/>
        <family val="2"/>
        <scheme val="minor"/>
      </rPr>
      <t>Capitulo 9 del reglamento general del Mercado de Valores</t>
    </r>
    <r>
      <rPr>
        <sz val="9"/>
        <color theme="1"/>
        <rFont val="Calibri"/>
        <family val="2"/>
        <scheme val="minor"/>
      </rPr>
      <t xml:space="preserve">. </t>
    </r>
  </si>
  <si>
    <t>3.2. Criterios de valuación</t>
  </si>
  <si>
    <t xml:space="preserve">Son aplicados los criterios de valuación y exposición se enmarcan de acuerdo a lo estipulado en la reglamentación general del Mercado de Valores, atendiendo el Anexo G. Los Bienes de Uso se valuan a valor residual o valor neto (Valor Adquisicion menos valor de las depreciaciones acumuladas).  Las Inversiones temporales y permantentes se valuan a su valor de incorporación. Salvo, a la Acción de la Bolsa que se valua al ultimo precio de transacción. </t>
  </si>
  <si>
    <t>3.3. Previsión para cuentas incobrables</t>
  </si>
  <si>
    <t xml:space="preserve">La entidad no posee previsión para cuentas incobrables. </t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</si>
  <si>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</si>
  <si>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</si>
  <si>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</si>
  <si>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</si>
  <si>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</si>
  <si>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</si>
  <si>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</si>
  <si>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</si>
  <si>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</si>
  <si>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</si>
  <si>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t>Tipos de Cambio</t>
  </si>
  <si>
    <t>Comprador</t>
  </si>
  <si>
    <t>Vendedor</t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</si>
  <si>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</si>
  <si>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t>Activos y Pasivos en Moneda Extranjera</t>
  </si>
  <si>
    <t>DETALLE</t>
  </si>
  <si>
    <t>MONEDA EXTRANJERA CLASE</t>
  </si>
  <si>
    <t>MONEDA EXTRANJERA MONTO</t>
  </si>
  <si>
    <t>CAMBIO CIERRE PERIODO ACTUAL</t>
  </si>
  <si>
    <t>SALDO AL CIERE DEL EJERCICIO ACTUAL GUARANIES</t>
  </si>
  <si>
    <t>CAMBIO CIERRE PERIODO ANTERIOR</t>
  </si>
  <si>
    <t>SALDO AL CIERE DEL EJERCICIO ANTERIOR GUARANIES</t>
  </si>
  <si>
    <t>ACTIVO CORRIENTE</t>
  </si>
  <si>
    <t>Dólares</t>
  </si>
  <si>
    <t>INVERSIONES TEMPORARIAS</t>
  </si>
  <si>
    <t>Titulo de Renta Variables- Acciones</t>
  </si>
  <si>
    <t>Titulo de Renta Fija (Bonos+CDA)</t>
  </si>
  <si>
    <t>Acciones en la Bolsa de Valores y otras inversiones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</si>
  <si>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</si>
  <si>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</si>
  <si>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</si>
  <si>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</si>
  <si>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</si>
  <si>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</si>
  <si>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</si>
  <si>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</si>
  <si>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</si>
  <si>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</si>
  <si>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</si>
  <si>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PROPIEDAD, PLANTA Y EQUIPO</t>
  </si>
  <si>
    <t>Bienes en Operación</t>
  </si>
  <si>
    <t>Depreciación Acumulada</t>
  </si>
  <si>
    <t>ACTIVOS INTANGIBLES</t>
  </si>
  <si>
    <t>Membresias</t>
  </si>
  <si>
    <t>Amortización Acumulada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</si>
  <si>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</si>
  <si>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</si>
  <si>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</si>
  <si>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</si>
  <si>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</si>
  <si>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</si>
  <si>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PRESTAMOS FINANCIEROS</t>
  </si>
  <si>
    <t>Documentos a Pagar</t>
  </si>
  <si>
    <t>Intereses a Pagar</t>
  </si>
  <si>
    <t>PROVISIONES</t>
  </si>
  <si>
    <t>Impuesto a la Renta a Pagar</t>
  </si>
  <si>
    <t>Sueldos a Pagar</t>
  </si>
  <si>
    <t>Seguros a Pagar</t>
  </si>
  <si>
    <t>PASIVO NO CORRIENTE</t>
  </si>
  <si>
    <t>OTROS PASIVOS</t>
  </si>
  <si>
    <t>Ganancias a Devengar</t>
  </si>
  <si>
    <t>Cuentas a Pagar por Compra de Acciones</t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</si>
  <si>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</si>
  <si>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</si>
  <si>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</si>
  <si>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</si>
  <si>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</si>
  <si>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</si>
  <si>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</si>
  <si>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</si>
  <si>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</si>
  <si>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</si>
  <si>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</si>
  <si>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d)       Disponibilidades</t>
  </si>
  <si>
    <t>La composición de los fondos disponibles en Bancos, es como sigue:</t>
  </si>
  <si>
    <t>Saldos de Cuentas</t>
  </si>
  <si>
    <t xml:space="preserve">  DISPONIBILIDADES                       </t>
  </si>
  <si>
    <t>Banco Familiar Saeca Cta Cte 00-2906458 M/L</t>
  </si>
  <si>
    <t>Banco Familiar Saeca Caja De Ahorro 0-2986139 M/L</t>
  </si>
  <si>
    <t>TOTAL DISPONIBILIDADES</t>
  </si>
  <si>
    <t>Detalle De Bancos de Operaciones</t>
  </si>
  <si>
    <t>Moneda: Guaraníes</t>
  </si>
  <si>
    <t>Banco</t>
  </si>
  <si>
    <t>Nro. de Cuenta</t>
  </si>
  <si>
    <t>BANCO FAMILIAR SAECA</t>
  </si>
  <si>
    <t>00-2955072</t>
  </si>
  <si>
    <t>BANCO ITAڠPARAGUAY S.A</t>
  </si>
  <si>
    <t>BANCO NACIONAL DE FOMENTO</t>
  </si>
  <si>
    <t>BANCO CONTINENTAL SAECA</t>
  </si>
  <si>
    <t>Financiera CEFISA</t>
  </si>
  <si>
    <t>FINEXPAR</t>
  </si>
  <si>
    <t>FIC S.A. de Finanzas</t>
  </si>
  <si>
    <t>Solar Ahorro y Finanzas SAECA</t>
  </si>
  <si>
    <t>BANCO RIO S.A.E.C.A.</t>
  </si>
  <si>
    <t>08-00607680-02</t>
  </si>
  <si>
    <t>Total</t>
  </si>
  <si>
    <t/>
  </si>
  <si>
    <t>Moneda: Dólares Americanos</t>
  </si>
  <si>
    <t>TC</t>
  </si>
  <si>
    <t>Banco Itaú Paraguay S.A</t>
  </si>
  <si>
    <t>Financiera Cefisa</t>
  </si>
  <si>
    <t>Finexpar</t>
  </si>
  <si>
    <t>e)   Inversiones  Temporales y Permanentes</t>
  </si>
  <si>
    <t xml:space="preserve">                INFORMACION SOBRE EL DOCUMENTO Y EL EMISOR</t>
  </si>
  <si>
    <t xml:space="preserve"> INFORMACION SOBRE EL EMISOR 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</si>
  <si>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</si>
  <si>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</si>
  <si>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</si>
  <si>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</si>
  <si>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</si>
  <si>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</si>
  <si>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</si>
  <si>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</si>
  <si>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</si>
  <si>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</si>
  <si>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</si>
  <si>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Inversiones Temporales</t>
  </si>
  <si>
    <t>Renta Fija - Bonos</t>
  </si>
  <si>
    <t>Tecnologia Del Sur S.A.E. (Tecsul S.A.E.)</t>
  </si>
  <si>
    <t>Bono</t>
  </si>
  <si>
    <t xml:space="preserve">Telefonica Celular Del Paraguay S.A.E (Telecel S.A.E) </t>
  </si>
  <si>
    <t xml:space="preserve">Banco Itaú Paraguay S.A. </t>
  </si>
  <si>
    <t>Bono Financiero</t>
  </si>
  <si>
    <t>Coop. Multiactiva De Ahorro, Crédito Y Servicios De Func. De Yacyretá Ltda. (Coofy)</t>
  </si>
  <si>
    <t>Imperial Compañía Distribuidora De Petróleo Y Derivados S.A.E. (Petromax S.A.E.)</t>
  </si>
  <si>
    <t>Cecon S.A.E.</t>
  </si>
  <si>
    <t>Automotores Y Maquinaria S.A.E.C.A.</t>
  </si>
  <si>
    <t xml:space="preserve">Itti S.A.E.C.A. </t>
  </si>
  <si>
    <t xml:space="preserve">Comfar S.A.E.C.A. </t>
  </si>
  <si>
    <t>(+) Valor de compra</t>
  </si>
  <si>
    <t>Renta Fija - CDAs</t>
  </si>
  <si>
    <t>CDA</t>
  </si>
  <si>
    <t>Instrumentos Financieros Cedidos en Prestamos (Repos)</t>
  </si>
  <si>
    <t>Nucleo S.A.</t>
  </si>
  <si>
    <t>Telefonica Celular Del Paraguay S.A.E.</t>
  </si>
  <si>
    <t xml:space="preserve">Intereses y Rendimientos </t>
  </si>
  <si>
    <t>Intereses y Rendimientos a cobrar</t>
  </si>
  <si>
    <t>Inversiones Permanentes</t>
  </si>
  <si>
    <t>Banco Familiar Saeca</t>
  </si>
  <si>
    <t>Bvpasa</t>
  </si>
  <si>
    <t>Accion</t>
  </si>
  <si>
    <t>VALOR DE COSTO</t>
  </si>
  <si>
    <t>VALOR CONTABLE</t>
  </si>
  <si>
    <t>VALOR NOMINAL UNITARIO</t>
  </si>
  <si>
    <t>VALOR DE COTIZACION</t>
  </si>
  <si>
    <t>Inversiones Corrientes</t>
  </si>
  <si>
    <t>Títulos de Renta Fija</t>
  </si>
  <si>
    <t xml:space="preserve">Nucleo S.A. </t>
  </si>
  <si>
    <t>Telefonica Celular Del Paraguay S.A.E (Telecel S.A.E)</t>
  </si>
  <si>
    <t>Inversiones No Corrientes</t>
  </si>
  <si>
    <t>Total al 31/12/2021</t>
  </si>
  <si>
    <t>CANTIDAD</t>
  </si>
  <si>
    <t>VALOR NOMINAL</t>
  </si>
  <si>
    <t>VALOR DE MERCADO</t>
  </si>
  <si>
    <t>1 Acción BVPASA</t>
  </si>
  <si>
    <t>f)       Créditos</t>
  </si>
  <si>
    <t>Corresponde a cuentas por cobrar a diversos clientes. Su composición del periodo actual  comparado con el ejercicio anterior, es como sigue:</t>
  </si>
  <si>
    <t>GUARANIES</t>
  </si>
  <si>
    <t>Corto Plazo Gs.</t>
  </si>
  <si>
    <t>Largo Plazo Gs.</t>
  </si>
  <si>
    <t>Saldos por Operaciones pendientes de cobro - M/L</t>
  </si>
  <si>
    <t>Saldos por Operaciones pendientes de cobro - M/E</t>
  </si>
  <si>
    <t>Anticipo a Proveedores Locales - Pago de Servicios</t>
  </si>
  <si>
    <t>Credito Fiscal IVA</t>
  </si>
  <si>
    <t>Dividendos a cobrar</t>
  </si>
  <si>
    <t>Cuentas por Cobrar a Accionistas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</si>
  <si>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</si>
  <si>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</si>
  <si>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</si>
  <si>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</si>
  <si>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</si>
  <si>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</si>
  <si>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</si>
  <si>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</si>
  <si>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</si>
  <si>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</si>
  <si>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</si>
  <si>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</si>
  <si>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g)      Bienes de Uso.</t>
  </si>
  <si>
    <t>Corresponde a bienes activo fijo utilizados en la empresa. Su composición actual comparativo con el ejercicio anterior, es como sigue: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</si>
  <si>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</si>
  <si>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</si>
  <si>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</si>
  <si>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</si>
  <si>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</si>
  <si>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</si>
  <si>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</si>
  <si>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</si>
  <si>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</si>
  <si>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</si>
  <si>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</si>
  <si>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</si>
  <si>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</si>
  <si>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</si>
  <si>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</si>
  <si>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</si>
  <si>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</si>
  <si>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</si>
  <si>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</si>
  <si>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h)       Cargos Diferidos</t>
  </si>
  <si>
    <t>Los saldos de la cuenta se componen de la siguiente manera;</t>
  </si>
  <si>
    <t>SALDO INICIAL</t>
  </si>
  <si>
    <t>AUMENTOS</t>
  </si>
  <si>
    <t>AMORTIZACIONES</t>
  </si>
  <si>
    <t>SALDO NETO FINAL</t>
  </si>
  <si>
    <t>Seguros a Vencer M/L</t>
  </si>
  <si>
    <t>Intereses a Vencer M/E</t>
  </si>
  <si>
    <t xml:space="preserve">Otros Activos </t>
  </si>
  <si>
    <t>i)   Intangibles,</t>
  </si>
  <si>
    <t xml:space="preserve"> Los saldos de las cuentas que la componen son las siguientes;</t>
  </si>
  <si>
    <t>CUENTA</t>
  </si>
  <si>
    <t>Marcas y Licencias</t>
  </si>
  <si>
    <t>Licencias Informáticas</t>
  </si>
  <si>
    <t>Sistemas Informáticos</t>
  </si>
  <si>
    <t>Licencia Actividad Bursatil</t>
  </si>
  <si>
    <t>j)       Otros Activos Corrientes y No Corrientes</t>
  </si>
  <si>
    <t>Seguros pagados por adelantado</t>
  </si>
  <si>
    <t>Anticipos a proveedores y otros</t>
  </si>
  <si>
    <t>k)       Préstamos Financieros a corto y a largo plazo.</t>
  </si>
  <si>
    <t>INSTITUCION</t>
  </si>
  <si>
    <t>CORTO PLAZO GS.</t>
  </si>
  <si>
    <t>LARGO PLAZO GS.</t>
  </si>
  <si>
    <t>Mercado de valores</t>
  </si>
  <si>
    <t>Intereses a Pagar por Repos</t>
  </si>
  <si>
    <t>* Repos realizados con Bonos de Nucleo y Tigo según constan en el cuadro de Inversiones.</t>
  </si>
  <si>
    <t>l)       Acreedores Varios (Corto y largo plazo)</t>
  </si>
  <si>
    <t>Gasto a favor del personal</t>
  </si>
  <si>
    <t>Servicios Contratados</t>
  </si>
  <si>
    <t>Gastos de escribanía</t>
  </si>
  <si>
    <t>Telefonía, Internet y Licencia MO</t>
  </si>
  <si>
    <t xml:space="preserve">m)       Acreedores por Intermediación. Corto y Largo Plazo. </t>
  </si>
  <si>
    <t>CORRIENTE G.</t>
  </si>
  <si>
    <t>NO CORRIENTE G.</t>
  </si>
  <si>
    <t>Saldo pendientes por Operaciones de Clientes - Cta Cash  -</t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</si>
  <si>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</si>
  <si>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t>A la fecha la entidad no registra administración de Cartera a Corto y Largo Plazo</t>
  </si>
  <si>
    <t>o)       Cuentas a Pagar a personas y empresas relacionadas (Corto y Largo plazo)</t>
  </si>
  <si>
    <t>NOMBRE</t>
  </si>
  <si>
    <t>RELACION</t>
  </si>
  <si>
    <t>TIPO DE OPERACIÓN</t>
  </si>
  <si>
    <t>ANTIGÜEDAD DE LA DEUDA</t>
  </si>
  <si>
    <t>Ysaias López Gómez</t>
  </si>
  <si>
    <t>Sindico</t>
  </si>
  <si>
    <t>90 dias</t>
  </si>
  <si>
    <t>Hp Auditores &amp; Contadores</t>
  </si>
  <si>
    <t>Auditores</t>
  </si>
  <si>
    <t>Servicios de Auditoria</t>
  </si>
  <si>
    <t>91 dias</t>
  </si>
  <si>
    <t>In Positiva SA</t>
  </si>
  <si>
    <t>Empresa Vinculada</t>
  </si>
  <si>
    <t>Servicios de Contabilidad</t>
  </si>
  <si>
    <t>92 dias</t>
  </si>
  <si>
    <t>GIUSEPPE ANTONIO SAURINI BUEY</t>
  </si>
  <si>
    <t>Recupero de Gastos</t>
  </si>
  <si>
    <t>172 días</t>
  </si>
  <si>
    <t>Market Data</t>
  </si>
  <si>
    <t>Capacitación al Personal</t>
  </si>
  <si>
    <t>81 días</t>
  </si>
  <si>
    <t>Metis</t>
  </si>
  <si>
    <t>Servicios de Marketing Digital</t>
  </si>
  <si>
    <t>88 días</t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</si>
  <si>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</si>
  <si>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t>PLAZO DE VENCIMIENTO DEL CONTRATO</t>
  </si>
  <si>
    <t>No Aplicable</t>
  </si>
  <si>
    <t>q)       Otros Pasivos Corrientes y No Corrientes</t>
  </si>
  <si>
    <t>Corriente Gs.</t>
  </si>
  <si>
    <t>No corrientes Gs.</t>
  </si>
  <si>
    <t>Interes a devengar por Repos</t>
  </si>
  <si>
    <t>r)       Saldos y Transacciones con personas y empresas relacionadas (Corriente y No Corriente)</t>
  </si>
  <si>
    <t>Corrientes</t>
  </si>
  <si>
    <t>SALDOS (Deudores y Acreedores mantenidos)</t>
  </si>
  <si>
    <t>Diego Barboza</t>
  </si>
  <si>
    <t>Director/Accionista</t>
  </si>
  <si>
    <t>Prestamos e intereses a cobrar</t>
  </si>
  <si>
    <t>Incubate SA</t>
  </si>
  <si>
    <t>Accionista</t>
  </si>
  <si>
    <t>Servicios de Asesoria Legal a cobrar</t>
  </si>
  <si>
    <t>No Corrientes</t>
  </si>
  <si>
    <t>PERIODO ACTUAL G.</t>
  </si>
  <si>
    <r>
      <t>S)</t>
    </r>
    <r>
      <rPr>
        <b/>
        <sz val="9"/>
        <color indexed="8"/>
        <rFont val="Calibri"/>
        <family val="2"/>
        <scheme val="minor"/>
      </rPr>
      <t>       Resultados con Personas y Empresas Vinculadas</t>
    </r>
  </si>
  <si>
    <t>PERSONA O EMPRESA RELACIONADA</t>
  </si>
  <si>
    <t>Total Ingresos</t>
  </si>
  <si>
    <t>Total Egresos</t>
  </si>
  <si>
    <t>Incubate S.A.</t>
  </si>
  <si>
    <t>Mayra Antonella Roux Miranda</t>
  </si>
  <si>
    <t>HP Auditores</t>
  </si>
  <si>
    <t>Ivan Casamayoret</t>
  </si>
  <si>
    <t>Cafetto</t>
  </si>
  <si>
    <t>Edge</t>
  </si>
  <si>
    <t>In Positiva</t>
  </si>
  <si>
    <t>t) Patrimonio</t>
  </si>
  <si>
    <t>SALDO AL INICIO DEL EJERCICIO</t>
  </si>
  <si>
    <t>DISMINUCIÓN</t>
  </si>
  <si>
    <t>Aportes no capitalizados</t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</si>
  <si>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</si>
  <si>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t>La entidad no registra previsiones a la fecha.</t>
  </si>
  <si>
    <t>Deducidas del Activo</t>
  </si>
  <si>
    <t>Creditos</t>
  </si>
  <si>
    <t>Incluidas en el Pasivo</t>
  </si>
  <si>
    <t>Prevision por Indemnizaciones</t>
  </si>
  <si>
    <t>v)       Ingresos Operativos</t>
  </si>
  <si>
    <t>Ingresos por Operaciones</t>
  </si>
  <si>
    <t>Totales</t>
  </si>
  <si>
    <t>Ganancia por venta de Titulos</t>
  </si>
  <si>
    <t xml:space="preserve">Dividendos Cobrados </t>
  </si>
  <si>
    <t>Otros ingresos</t>
  </si>
  <si>
    <t>w) Otros Gastos Operativos, de comercialización y de administración</t>
  </si>
  <si>
    <t>x)       Otros Ingresos y Egresos</t>
  </si>
  <si>
    <t>y)       Resultados Financieros</t>
  </si>
  <si>
    <t>Generados Por Activos</t>
  </si>
  <si>
    <t>Intereses Cobrados</t>
  </si>
  <si>
    <t>Generados Por Pasivos</t>
  </si>
  <si>
    <t>Intereses Pagados</t>
  </si>
  <si>
    <t xml:space="preserve">z)  Resultados Extraordinarios </t>
  </si>
  <si>
    <t>Ganancia por Venta de Rodado</t>
  </si>
  <si>
    <t>Egresos Extraordinarios</t>
  </si>
  <si>
    <t>Perdida por Venta de Activo</t>
  </si>
  <si>
    <t>Depreciaciones y Amortizaciones</t>
  </si>
  <si>
    <t>NOTA 6. INFORMACION REFERENTE A CONTINGENCIAS Y COMPROMISOS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</si>
  <si>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</si>
  <si>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t>No registra</t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</si>
  <si>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</si>
  <si>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</si>
  <si>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t>De acuerdo a lo previsto en el artículo 111 de la Ley 5810/17, la entidad tiene constituida como garantía la suma de Gs 600.000,000- ( guaranies seiscientos millonesl), representados por 1 Certificado de Deposito de Ahorro, de Gs. 600.000.000 cada uno, emitidos por Banco Familiar SAECA, corresponden a la serie del titulo ND N°8052.</t>
  </si>
  <si>
    <t>NOTA 7. HECHOS POSTERIORES AL CIERRE DEL EJERCICIO</t>
  </si>
  <si>
    <t>No registra.</t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</si>
  <si>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</si>
  <si>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NOTA 9. CAMBIOS CONTABLES</t>
  </si>
  <si>
    <t>NOTA 10. RESTRICIONES PARA DISTRIBUCIÓN DE UTILIDADES</t>
  </si>
  <si>
    <t>NOTA 11. SANCIONES</t>
  </si>
  <si>
    <t>No Registra.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</si>
</sst>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* #,##0.0_ ;_ * \-#,##0.0_ ;_ * &quot;-&quot;_ ;_ @_ "/>
    <numFmt numFmtId="175" formatCode="#,##0;\(#,##0\)"/>
    <numFmt numFmtId="176" formatCode="&quot; &quot;#,##0.00&quot; &quot;;&quot; (&quot;#,##0.00&quot;)&quot;;&quot; -&quot;00&quot; &quot;;&quot; &quot;@&quot; &quot;"/>
    <numFmt numFmtId="177" formatCode="_ * #,##0.000000_ ;_ * \-#,##0.000000_ ;_ * &quot;-&quot;_ ;_ @_ "/>
  </numFmts>
  <fonts count="10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b/>
      <sz val="8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u val="singleAccounting"/>
      <sz val="8"/>
      <color rgb="FF000000"/>
      <name val="Calibri"/>
      <family val="2"/>
      <scheme val="minor"/>
    </font>
    <font>
      <u val="singleAccounting"/>
      <sz val="8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i/>
      <u val="double"/>
      <sz val="11"/>
      <color theme="1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color theme="9"/>
      <name val="Arial"/>
      <family val="2"/>
    </font>
    <font>
      <b/>
      <sz val="5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sz val="10"/>
      <color theme="9" tint="-0.249977111117893"/>
      <name val="Arial"/>
      <family val="2"/>
    </font>
    <font>
      <b/>
      <i/>
      <sz val="10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color theme="9" tint="-0.24997711111789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i/>
      <u val="double"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5"/>
      <name val="Calibri (Cuerpo)"/>
    </font>
    <font>
      <b/>
      <sz val="9"/>
      <color theme="5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b/>
      <u val="double"/>
      <sz val="9"/>
      <color theme="1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11E41"/>
        <bgColor indexed="64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A7A7A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90" fillId="0" borderId="0" applyFont="0" applyFill="0" applyBorder="0" applyAlignment="0" applyProtection="0"/>
  </cellStyleXfs>
  <cellXfs count="732">
    <xf numFmtId="0" fontId="0" fillId="0" borderId="0" xfId="0"/>
    <xf numFmtId="41" fontId="7" fillId="0" borderId="1" xfId="5" applyFont="1" applyFill="1" applyBorder="1"/>
    <xf numFmtId="0" fontId="8" fillId="0" borderId="5" xfId="0" quotePrefix="1" applyFont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9" xfId="0" applyFont="1" applyBorder="1"/>
    <xf numFmtId="0" fontId="12" fillId="3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5" fillId="0" borderId="5" xfId="3" quotePrefix="1" applyBorder="1" applyAlignment="1">
      <alignment horizontal="left"/>
    </xf>
    <xf numFmtId="0" fontId="5" fillId="0" borderId="5" xfId="3" applyBorder="1" applyAlignment="1">
      <alignment horizontal="left"/>
    </xf>
    <xf numFmtId="0" fontId="13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6" fillId="0" borderId="0" xfId="3" quotePrefix="1" applyFont="1"/>
    <xf numFmtId="0" fontId="1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167" fontId="14" fillId="0" borderId="1" xfId="0" applyNumberFormat="1" applyFont="1" applyBorder="1"/>
    <xf numFmtId="0" fontId="14" fillId="0" borderId="1" xfId="0" applyFont="1" applyBorder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1" fontId="14" fillId="0" borderId="0" xfId="5" applyFont="1"/>
    <xf numFmtId="3" fontId="14" fillId="0" borderId="1" xfId="0" applyNumberFormat="1" applyFont="1" applyBorder="1" applyAlignment="1">
      <alignment vertical="center"/>
    </xf>
    <xf numFmtId="172" fontId="14" fillId="0" borderId="1" xfId="5" applyNumberFormat="1" applyFont="1" applyBorder="1" applyAlignment="1">
      <alignment horizontal="center" vertical="center"/>
    </xf>
    <xf numFmtId="167" fontId="14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3" fontId="14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7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/>
    </xf>
    <xf numFmtId="167" fontId="14" fillId="0" borderId="1" xfId="4" applyNumberFormat="1" applyFont="1" applyBorder="1" applyAlignment="1">
      <alignment horizontal="right"/>
    </xf>
    <xf numFmtId="41" fontId="14" fillId="0" borderId="0" xfId="0" applyNumberFormat="1" applyFont="1"/>
    <xf numFmtId="3" fontId="7" fillId="0" borderId="1" xfId="0" applyNumberFormat="1" applyFont="1" applyBorder="1" applyAlignment="1">
      <alignment horizontal="right"/>
    </xf>
    <xf numFmtId="41" fontId="14" fillId="0" borderId="0" xfId="5" applyFont="1" applyAlignment="1">
      <alignment horizontal="right"/>
    </xf>
    <xf numFmtId="41" fontId="14" fillId="0" borderId="0" xfId="5" applyFont="1" applyBorder="1"/>
    <xf numFmtId="0" fontId="15" fillId="0" borderId="1" xfId="0" applyFont="1" applyBorder="1" applyAlignment="1">
      <alignment horizontal="center"/>
    </xf>
    <xf numFmtId="171" fontId="15" fillId="0" borderId="1" xfId="5" applyNumberFormat="1" applyFont="1" applyBorder="1" applyAlignment="1">
      <alignment horizontal="center" vertical="center" wrapText="1"/>
    </xf>
    <xf numFmtId="171" fontId="15" fillId="0" borderId="1" xfId="5" applyNumberFormat="1" applyFont="1" applyBorder="1" applyAlignment="1">
      <alignment horizontal="center" wrapText="1"/>
    </xf>
    <xf numFmtId="0" fontId="15" fillId="0" borderId="1" xfId="0" applyFont="1" applyBorder="1"/>
    <xf numFmtId="41" fontId="11" fillId="0" borderId="1" xfId="5" applyFont="1" applyBorder="1" applyAlignment="1">
      <alignment horizontal="right" vertical="center"/>
    </xf>
    <xf numFmtId="41" fontId="11" fillId="0" borderId="1" xfId="5" applyFont="1" applyBorder="1" applyAlignment="1">
      <alignment horizontal="right"/>
    </xf>
    <xf numFmtId="41" fontId="21" fillId="0" borderId="1" xfId="5" applyFont="1" applyBorder="1" applyAlignment="1"/>
    <xf numFmtId="41" fontId="21" fillId="0" borderId="1" xfId="5" applyFont="1" applyBorder="1" applyAlignment="1">
      <alignment horizontal="right"/>
    </xf>
    <xf numFmtId="41" fontId="21" fillId="0" borderId="0" xfId="5" applyFont="1" applyBorder="1" applyAlignment="1"/>
    <xf numFmtId="0" fontId="22" fillId="0" borderId="0" xfId="0" applyFont="1"/>
    <xf numFmtId="41" fontId="15" fillId="0" borderId="1" xfId="5" applyFont="1" applyBorder="1" applyAlignment="1">
      <alignment horizontal="right" vertical="center"/>
    </xf>
    <xf numFmtId="173" fontId="14" fillId="0" borderId="0" xfId="4" applyNumberFormat="1" applyFont="1"/>
    <xf numFmtId="0" fontId="24" fillId="0" borderId="7" xfId="0" applyFont="1" applyBorder="1" applyAlignment="1">
      <alignment horizontal="center" vertical="center"/>
    </xf>
    <xf numFmtId="173" fontId="20" fillId="0" borderId="1" xfId="4" applyNumberFormat="1" applyFont="1" applyFill="1" applyBorder="1" applyAlignment="1">
      <alignment vertical="center"/>
    </xf>
    <xf numFmtId="170" fontId="14" fillId="0" borderId="0" xfId="0" applyNumberFormat="1" applyFont="1"/>
    <xf numFmtId="173" fontId="20" fillId="0" borderId="2" xfId="4" applyNumberFormat="1" applyFont="1" applyFill="1" applyBorder="1" applyAlignment="1">
      <alignment vertical="center"/>
    </xf>
    <xf numFmtId="173" fontId="24" fillId="0" borderId="2" xfId="4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173" fontId="24" fillId="0" borderId="1" xfId="4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170" fontId="24" fillId="0" borderId="0" xfId="0" applyNumberFormat="1" applyFont="1" applyAlignment="1">
      <alignment vertical="center"/>
    </xf>
    <xf numFmtId="173" fontId="24" fillId="0" borderId="0" xfId="4" applyNumberFormat="1" applyFont="1" applyAlignment="1">
      <alignment vertical="center"/>
    </xf>
    <xf numFmtId="173" fontId="24" fillId="0" borderId="0" xfId="4" applyNumberFormat="1" applyFont="1" applyBorder="1" applyAlignment="1">
      <alignment horizontal="right" vertical="center"/>
    </xf>
    <xf numFmtId="173" fontId="25" fillId="0" borderId="0" xfId="4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0" fontId="14" fillId="0" borderId="0" xfId="0" applyNumberFormat="1" applyFont="1" applyAlignment="1">
      <alignment vertical="center"/>
    </xf>
    <xf numFmtId="173" fontId="14" fillId="0" borderId="0" xfId="4" applyNumberFormat="1" applyFont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1" fontId="14" fillId="0" borderId="0" xfId="5" applyFont="1" applyFill="1" applyAlignment="1">
      <alignment horizontal="right"/>
    </xf>
    <xf numFmtId="41" fontId="14" fillId="0" borderId="1" xfId="5" applyFont="1" applyFill="1" applyBorder="1" applyAlignment="1">
      <alignment horizontal="right"/>
    </xf>
    <xf numFmtId="41" fontId="7" fillId="0" borderId="1" xfId="5" applyFont="1" applyFill="1" applyBorder="1" applyAlignment="1">
      <alignment horizontal="right"/>
    </xf>
    <xf numFmtId="170" fontId="14" fillId="0" borderId="0" xfId="4" applyNumberFormat="1" applyFont="1" applyFill="1"/>
    <xf numFmtId="41" fontId="7" fillId="0" borderId="0" xfId="5" applyFont="1" applyFill="1" applyAlignment="1">
      <alignment horizontal="right"/>
    </xf>
    <xf numFmtId="41" fontId="14" fillId="0" borderId="0" xfId="5" applyFont="1" applyFill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3" fontId="14" fillId="0" borderId="0" xfId="0" applyNumberFormat="1" applyFont="1"/>
    <xf numFmtId="0" fontId="1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41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14" fillId="0" borderId="0" xfId="0" applyNumberFormat="1" applyFont="1"/>
    <xf numFmtId="0" fontId="24" fillId="0" borderId="1" xfId="0" applyFont="1" applyBorder="1"/>
    <xf numFmtId="0" fontId="19" fillId="0" borderId="0" xfId="0" applyFont="1"/>
    <xf numFmtId="0" fontId="7" fillId="0" borderId="1" xfId="0" applyFont="1" applyBorder="1" applyAlignment="1">
      <alignment horizontal="center" wrapText="1"/>
    </xf>
    <xf numFmtId="167" fontId="14" fillId="0" borderId="1" xfId="9" applyFont="1" applyFill="1" applyBorder="1" applyAlignment="1">
      <alignment horizontal="right"/>
    </xf>
    <xf numFmtId="3" fontId="7" fillId="0" borderId="1" xfId="0" applyNumberFormat="1" applyFont="1" applyBorder="1"/>
    <xf numFmtId="41" fontId="14" fillId="0" borderId="1" xfId="5" applyFont="1" applyBorder="1" applyAlignment="1"/>
    <xf numFmtId="41" fontId="7" fillId="0" borderId="1" xfId="5" applyFont="1" applyBorder="1" applyAlignment="1"/>
    <xf numFmtId="167" fontId="14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14" fillId="0" borderId="0" xfId="9" applyFont="1"/>
    <xf numFmtId="0" fontId="1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170" fontId="14" fillId="0" borderId="1" xfId="0" applyNumberFormat="1" applyFont="1" applyBorder="1" applyAlignment="1">
      <alignment horizontal="right" wrapText="1"/>
    </xf>
    <xf numFmtId="167" fontId="14" fillId="0" borderId="1" xfId="9" applyFont="1" applyBorder="1" applyAlignment="1">
      <alignment horizontal="right" wrapText="1"/>
    </xf>
    <xf numFmtId="0" fontId="24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0" fontId="7" fillId="0" borderId="1" xfId="9" applyNumberFormat="1" applyFont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170" fontId="7" fillId="0" borderId="0" xfId="9" applyNumberFormat="1" applyFont="1" applyBorder="1" applyAlignment="1">
      <alignment horizontal="right" wrapText="1"/>
    </xf>
    <xf numFmtId="167" fontId="14" fillId="0" borderId="0" xfId="9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167" fontId="14" fillId="0" borderId="1" xfId="9" applyFont="1" applyFill="1" applyBorder="1" applyAlignment="1">
      <alignment horizontal="right" wrapText="1"/>
    </xf>
    <xf numFmtId="41" fontId="14" fillId="0" borderId="1" xfId="5" applyFont="1" applyBorder="1" applyAlignment="1">
      <alignment horizontal="right" wrapText="1"/>
    </xf>
    <xf numFmtId="170" fontId="7" fillId="0" borderId="1" xfId="0" applyNumberFormat="1" applyFont="1" applyBorder="1" applyAlignment="1">
      <alignment horizontal="right" wrapText="1"/>
    </xf>
    <xf numFmtId="41" fontId="14" fillId="0" borderId="0" xfId="5" applyFont="1" applyFill="1" applyAlignment="1">
      <alignment wrapText="1"/>
    </xf>
    <xf numFmtId="41" fontId="14" fillId="0" borderId="0" xfId="5" applyFont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5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1" fontId="20" fillId="3" borderId="1" xfId="5" applyFont="1" applyFill="1" applyBorder="1" applyAlignment="1">
      <alignment horizontal="left" wrapText="1"/>
    </xf>
    <xf numFmtId="41" fontId="7" fillId="0" borderId="1" xfId="5" applyFont="1" applyFill="1" applyBorder="1" applyAlignment="1">
      <alignment horizontal="right" wrapText="1"/>
    </xf>
    <xf numFmtId="41" fontId="14" fillId="0" borderId="1" xfId="5" applyFont="1" applyFill="1" applyBorder="1" applyAlignment="1">
      <alignment horizontal="right" wrapText="1"/>
    </xf>
    <xf numFmtId="41" fontId="14" fillId="0" borderId="0" xfId="0" applyNumberFormat="1" applyFont="1" applyAlignment="1">
      <alignment wrapText="1"/>
    </xf>
    <xf numFmtId="41" fontId="24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41" fontId="25" fillId="0" borderId="1" xfId="5" applyFont="1" applyFill="1" applyBorder="1" applyAlignment="1">
      <alignment horizontal="right" vertical="center"/>
    </xf>
    <xf numFmtId="41" fontId="25" fillId="0" borderId="1" xfId="5" applyFont="1" applyBorder="1" applyAlignment="1">
      <alignment horizontal="right" vertical="center"/>
    </xf>
    <xf numFmtId="170" fontId="24" fillId="0" borderId="1" xfId="9" applyNumberFormat="1" applyFont="1" applyBorder="1" applyAlignment="1">
      <alignment horizontal="right" vertical="center"/>
    </xf>
    <xf numFmtId="41" fontId="24" fillId="0" borderId="1" xfId="5" applyFont="1" applyBorder="1" applyAlignment="1">
      <alignment horizontal="right" vertical="center"/>
    </xf>
    <xf numFmtId="171" fontId="14" fillId="0" borderId="0" xfId="0" applyNumberFormat="1" applyFont="1"/>
    <xf numFmtId="170" fontId="14" fillId="0" borderId="0" xfId="9" applyNumberFormat="1" applyFont="1"/>
    <xf numFmtId="170" fontId="7" fillId="0" borderId="0" xfId="9" applyNumberFormat="1" applyFont="1"/>
    <xf numFmtId="0" fontId="7" fillId="0" borderId="0" xfId="0" applyFont="1"/>
    <xf numFmtId="41" fontId="14" fillId="0" borderId="1" xfId="5" applyFont="1" applyBorder="1" applyAlignment="1">
      <alignment horizontal="right" vertical="center"/>
    </xf>
    <xf numFmtId="41" fontId="14" fillId="0" borderId="1" xfId="5" applyFont="1" applyFill="1" applyBorder="1" applyAlignment="1">
      <alignment horizontal="right" vertical="center"/>
    </xf>
    <xf numFmtId="41" fontId="14" fillId="0" borderId="0" xfId="0" applyNumberFormat="1" applyFont="1" applyAlignment="1">
      <alignment vertical="center"/>
    </xf>
    <xf numFmtId="41" fontId="14" fillId="0" borderId="0" xfId="5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41" fontId="7" fillId="0" borderId="1" xfId="5" applyFont="1" applyBorder="1" applyAlignment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41" fontId="14" fillId="0" borderId="0" xfId="5" applyFont="1" applyAlignment="1">
      <alignment vertical="center"/>
    </xf>
    <xf numFmtId="0" fontId="18" fillId="0" borderId="0" xfId="0" applyFont="1"/>
    <xf numFmtId="41" fontId="14" fillId="0" borderId="1" xfId="5" applyFont="1" applyFill="1" applyBorder="1" applyAlignment="1"/>
    <xf numFmtId="0" fontId="27" fillId="0" borderId="0" xfId="0" applyFont="1" applyAlignment="1">
      <alignment horizontal="center"/>
    </xf>
    <xf numFmtId="0" fontId="27" fillId="0" borderId="3" xfId="0" applyFont="1" applyBorder="1" applyAlignment="1">
      <alignment horizontal="center"/>
    </xf>
    <xf numFmtId="41" fontId="14" fillId="0" borderId="1" xfId="5" applyFont="1" applyFill="1" applyBorder="1" applyAlignment="1">
      <alignment horizontal="center"/>
    </xf>
    <xf numFmtId="0" fontId="14" fillId="0" borderId="5" xfId="0" applyFont="1" applyBorder="1"/>
    <xf numFmtId="41" fontId="7" fillId="0" borderId="1" xfId="5" applyFont="1" applyFill="1" applyBorder="1" applyAlignment="1">
      <alignment horizontal="center"/>
    </xf>
    <xf numFmtId="41" fontId="7" fillId="0" borderId="1" xfId="5" applyFont="1" applyBorder="1" applyAlignment="1">
      <alignment horizontal="center"/>
    </xf>
    <xf numFmtId="41" fontId="14" fillId="0" borderId="1" xfId="5" applyFont="1" applyBorder="1" applyAlignment="1">
      <alignment horizontal="center"/>
    </xf>
    <xf numFmtId="41" fontId="14" fillId="0" borderId="1" xfId="5" applyFont="1" applyBorder="1"/>
    <xf numFmtId="41" fontId="7" fillId="0" borderId="1" xfId="0" applyNumberFormat="1" applyFont="1" applyBorder="1"/>
    <xf numFmtId="41" fontId="14" fillId="0" borderId="1" xfId="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quotePrefix="1"/>
    <xf numFmtId="0" fontId="20" fillId="0" borderId="0" xfId="0" applyFont="1"/>
    <xf numFmtId="0" fontId="23" fillId="0" borderId="1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1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7" fillId="0" borderId="52" xfId="0" applyFont="1" applyBorder="1" applyAlignment="1">
      <alignment vertical="center"/>
    </xf>
    <xf numFmtId="168" fontId="19" fillId="0" borderId="1" xfId="4" applyNumberFormat="1" applyFont="1" applyFill="1" applyBorder="1" applyAlignment="1">
      <alignment horizontal="center" vertical="center" wrapText="1"/>
    </xf>
    <xf numFmtId="168" fontId="19" fillId="0" borderId="17" xfId="4" applyNumberFormat="1" applyFont="1" applyFill="1" applyBorder="1" applyAlignment="1">
      <alignment horizontal="center" vertical="center" wrapText="1"/>
    </xf>
    <xf numFmtId="0" fontId="17" fillId="0" borderId="5" xfId="0" applyFont="1" applyBorder="1"/>
    <xf numFmtId="173" fontId="17" fillId="0" borderId="12" xfId="4" applyNumberFormat="1" applyFont="1" applyFill="1" applyBorder="1" applyAlignment="1">
      <alignment horizontal="right"/>
    </xf>
    <xf numFmtId="173" fontId="19" fillId="0" borderId="5" xfId="4" applyNumberFormat="1" applyFont="1" applyFill="1" applyBorder="1" applyAlignment="1">
      <alignment horizontal="right"/>
    </xf>
    <xf numFmtId="0" fontId="17" fillId="0" borderId="12" xfId="0" applyFont="1" applyBorder="1"/>
    <xf numFmtId="173" fontId="23" fillId="0" borderId="5" xfId="4" applyNumberFormat="1" applyFont="1" applyFill="1" applyBorder="1" applyAlignment="1">
      <alignment horizontal="right"/>
    </xf>
    <xf numFmtId="173" fontId="20" fillId="0" borderId="5" xfId="4" applyNumberFormat="1" applyFont="1" applyFill="1" applyBorder="1" applyAlignment="1">
      <alignment horizontal="right"/>
    </xf>
    <xf numFmtId="173" fontId="23" fillId="0" borderId="12" xfId="4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73" fontId="20" fillId="0" borderId="12" xfId="4" applyNumberFormat="1" applyFont="1" applyFill="1" applyBorder="1" applyAlignment="1">
      <alignment horizontal="right"/>
    </xf>
    <xf numFmtId="0" fontId="23" fillId="0" borderId="5" xfId="0" applyFont="1" applyBorder="1"/>
    <xf numFmtId="173" fontId="17" fillId="0" borderId="18" xfId="4" applyNumberFormat="1" applyFont="1" applyFill="1" applyBorder="1" applyAlignment="1">
      <alignment horizontal="right"/>
    </xf>
    <xf numFmtId="0" fontId="28" fillId="0" borderId="5" xfId="0" applyFont="1" applyBorder="1"/>
    <xf numFmtId="173" fontId="23" fillId="0" borderId="54" xfId="4" applyNumberFormat="1" applyFont="1" applyFill="1" applyBorder="1" applyAlignment="1">
      <alignment horizontal="right"/>
    </xf>
    <xf numFmtId="173" fontId="20" fillId="0" borderId="54" xfId="4" applyNumberFormat="1" applyFont="1" applyFill="1" applyBorder="1" applyAlignment="1">
      <alignment horizontal="right"/>
    </xf>
    <xf numFmtId="173" fontId="17" fillId="0" borderId="19" xfId="4" applyNumberFormat="1" applyFont="1" applyFill="1" applyBorder="1" applyAlignment="1">
      <alignment horizontal="right"/>
    </xf>
    <xf numFmtId="0" fontId="23" fillId="0" borderId="12" xfId="0" applyFont="1" applyBorder="1"/>
    <xf numFmtId="173" fontId="17" fillId="0" borderId="55" xfId="4" applyNumberFormat="1" applyFont="1" applyFill="1" applyBorder="1" applyAlignment="1">
      <alignment horizontal="right"/>
    </xf>
    <xf numFmtId="41" fontId="20" fillId="0" borderId="0" xfId="5" applyFont="1" applyAlignment="1">
      <alignment wrapText="1"/>
    </xf>
    <xf numFmtId="41" fontId="20" fillId="0" borderId="0" xfId="0" applyNumberFormat="1" applyFont="1" applyAlignment="1">
      <alignment wrapText="1"/>
    </xf>
    <xf numFmtId="0" fontId="17" fillId="0" borderId="12" xfId="0" applyFont="1" applyBorder="1" applyAlignment="1">
      <alignment horizontal="left"/>
    </xf>
    <xf numFmtId="173" fontId="17" fillId="0" borderId="5" xfId="4" applyNumberFormat="1" applyFont="1" applyFill="1" applyBorder="1" applyAlignment="1">
      <alignment horizontal="right"/>
    </xf>
    <xf numFmtId="173" fontId="17" fillId="0" borderId="1" xfId="4" applyNumberFormat="1" applyFont="1" applyFill="1" applyBorder="1" applyAlignment="1">
      <alignment horizontal="right"/>
    </xf>
    <xf numFmtId="0" fontId="17" fillId="0" borderId="20" xfId="0" applyFont="1" applyBorder="1"/>
    <xf numFmtId="173" fontId="17" fillId="0" borderId="21" xfId="4" applyNumberFormat="1" applyFont="1" applyFill="1" applyBorder="1" applyAlignment="1">
      <alignment horizontal="right"/>
    </xf>
    <xf numFmtId="0" fontId="17" fillId="0" borderId="22" xfId="0" applyFont="1" applyBorder="1"/>
    <xf numFmtId="173" fontId="17" fillId="0" borderId="22" xfId="4" applyNumberFormat="1" applyFont="1" applyFill="1" applyBorder="1" applyAlignment="1">
      <alignment horizontal="right"/>
    </xf>
    <xf numFmtId="173" fontId="17" fillId="0" borderId="23" xfId="4" applyNumberFormat="1" applyFont="1" applyFill="1" applyBorder="1" applyAlignment="1">
      <alignment horizontal="right"/>
    </xf>
    <xf numFmtId="173" fontId="26" fillId="0" borderId="12" xfId="4" applyNumberFormat="1" applyFont="1" applyFill="1" applyBorder="1" applyAlignment="1">
      <alignment horizontal="right"/>
    </xf>
    <xf numFmtId="41" fontId="23" fillId="0" borderId="12" xfId="0" applyNumberFormat="1" applyFont="1" applyBorder="1"/>
    <xf numFmtId="49" fontId="23" fillId="0" borderId="0" xfId="0" applyNumberFormat="1" applyFont="1" applyAlignment="1">
      <alignment wrapText="1"/>
    </xf>
    <xf numFmtId="0" fontId="17" fillId="0" borderId="24" xfId="0" applyFont="1" applyBorder="1"/>
    <xf numFmtId="173" fontId="17" fillId="0" borderId="25" xfId="4" applyNumberFormat="1" applyFont="1" applyFill="1" applyBorder="1" applyAlignment="1">
      <alignment horizontal="right"/>
    </xf>
    <xf numFmtId="173" fontId="23" fillId="0" borderId="55" xfId="4" applyNumberFormat="1" applyFont="1" applyFill="1" applyBorder="1" applyAlignment="1">
      <alignment horizontal="right"/>
    </xf>
    <xf numFmtId="173" fontId="20" fillId="0" borderId="2" xfId="4" applyNumberFormat="1" applyFont="1" applyFill="1" applyBorder="1" applyAlignment="1">
      <alignment horizontal="right"/>
    </xf>
    <xf numFmtId="173" fontId="17" fillId="0" borderId="54" xfId="4" applyNumberFormat="1" applyFont="1" applyFill="1" applyBorder="1" applyAlignment="1">
      <alignment horizontal="right"/>
    </xf>
    <xf numFmtId="0" fontId="17" fillId="0" borderId="11" xfId="0" applyFont="1" applyBorder="1"/>
    <xf numFmtId="173" fontId="17" fillId="0" borderId="26" xfId="4" applyNumberFormat="1" applyFont="1" applyFill="1" applyBorder="1" applyAlignment="1">
      <alignment horizontal="right"/>
    </xf>
    <xf numFmtId="173" fontId="17" fillId="0" borderId="2" xfId="4" applyNumberFormat="1" applyFont="1" applyFill="1" applyBorder="1" applyAlignment="1">
      <alignment horizontal="right"/>
    </xf>
    <xf numFmtId="0" fontId="23" fillId="0" borderId="0" xfId="0" applyFont="1"/>
    <xf numFmtId="173" fontId="19" fillId="0" borderId="17" xfId="4" applyNumberFormat="1" applyFont="1" applyFill="1" applyBorder="1" applyAlignment="1">
      <alignment horizontal="right"/>
    </xf>
    <xf numFmtId="0" fontId="17" fillId="0" borderId="2" xfId="0" applyFont="1" applyBorder="1"/>
    <xf numFmtId="41" fontId="20" fillId="0" borderId="0" xfId="5" applyFont="1"/>
    <xf numFmtId="173" fontId="20" fillId="0" borderId="0" xfId="0" applyNumberFormat="1" applyFont="1"/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/>
    <xf numFmtId="168" fontId="17" fillId="0" borderId="0" xfId="4" applyNumberFormat="1" applyFont="1" applyFill="1"/>
    <xf numFmtId="168" fontId="20" fillId="0" borderId="0" xfId="0" applyNumberFormat="1" applyFont="1"/>
    <xf numFmtId="168" fontId="20" fillId="0" borderId="0" xfId="4" applyNumberFormat="1" applyFont="1" applyFill="1"/>
    <xf numFmtId="168" fontId="20" fillId="0" borderId="0" xfId="4" applyNumberFormat="1" applyFont="1" applyFill="1" applyProtection="1">
      <protection hidden="1"/>
    </xf>
    <xf numFmtId="3" fontId="20" fillId="0" borderId="0" xfId="0" applyNumberFormat="1" applyFont="1"/>
    <xf numFmtId="0" fontId="2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5"/>
    </xf>
    <xf numFmtId="0" fontId="29" fillId="0" borderId="0" xfId="0" applyFont="1"/>
    <xf numFmtId="41" fontId="20" fillId="0" borderId="0" xfId="5" applyFont="1" applyFill="1"/>
    <xf numFmtId="169" fontId="20" fillId="0" borderId="0" xfId="0" applyNumberFormat="1" applyFont="1"/>
    <xf numFmtId="169" fontId="20" fillId="0" borderId="0" xfId="4" applyNumberFormat="1" applyFont="1" applyFill="1"/>
    <xf numFmtId="0" fontId="14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4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168" fontId="23" fillId="0" borderId="28" xfId="4" applyNumberFormat="1" applyFont="1" applyBorder="1"/>
    <xf numFmtId="41" fontId="23" fillId="0" borderId="36" xfId="5" applyFont="1" applyBorder="1" applyAlignment="1">
      <alignment horizontal="right"/>
    </xf>
    <xf numFmtId="41" fontId="23" fillId="0" borderId="37" xfId="5" applyFont="1" applyBorder="1" applyAlignment="1">
      <alignment horizontal="right"/>
    </xf>
    <xf numFmtId="41" fontId="23" fillId="0" borderId="38" xfId="5" applyFont="1" applyBorder="1" applyAlignment="1">
      <alignment horizontal="right"/>
    </xf>
    <xf numFmtId="41" fontId="23" fillId="0" borderId="39" xfId="5" applyFont="1" applyBorder="1" applyAlignment="1">
      <alignment horizontal="right"/>
    </xf>
    <xf numFmtId="41" fontId="17" fillId="0" borderId="36" xfId="5" applyFont="1" applyBorder="1" applyAlignment="1">
      <alignment horizontal="right"/>
    </xf>
    <xf numFmtId="41" fontId="17" fillId="0" borderId="37" xfId="5" applyFont="1" applyBorder="1" applyAlignment="1">
      <alignment horizontal="right"/>
    </xf>
    <xf numFmtId="168" fontId="30" fillId="0" borderId="28" xfId="4" applyNumberFormat="1" applyFont="1" applyBorder="1"/>
    <xf numFmtId="41" fontId="23" fillId="0" borderId="40" xfId="5" applyFont="1" applyBorder="1" applyAlignment="1">
      <alignment horizontal="right"/>
    </xf>
    <xf numFmtId="41" fontId="23" fillId="0" borderId="29" xfId="5" applyFont="1" applyBorder="1" applyAlignment="1">
      <alignment horizontal="right"/>
    </xf>
    <xf numFmtId="41" fontId="23" fillId="0" borderId="12" xfId="5" applyFont="1" applyBorder="1" applyAlignment="1">
      <alignment horizontal="right"/>
    </xf>
    <xf numFmtId="41" fontId="23" fillId="0" borderId="41" xfId="5" applyFont="1" applyBorder="1" applyAlignment="1">
      <alignment horizontal="right"/>
    </xf>
    <xf numFmtId="41" fontId="23" fillId="0" borderId="42" xfId="5" applyFont="1" applyBorder="1" applyAlignment="1">
      <alignment horizontal="right"/>
    </xf>
    <xf numFmtId="41" fontId="23" fillId="0" borderId="43" xfId="5" applyFont="1" applyBorder="1" applyAlignment="1">
      <alignment horizontal="right"/>
    </xf>
    <xf numFmtId="41" fontId="23" fillId="0" borderId="44" xfId="5" applyFont="1" applyBorder="1" applyAlignment="1">
      <alignment horizontal="right"/>
    </xf>
    <xf numFmtId="41" fontId="17" fillId="0" borderId="47" xfId="5" applyFont="1" applyBorder="1" applyAlignment="1">
      <alignment horizontal="right"/>
    </xf>
    <xf numFmtId="41" fontId="17" fillId="0" borderId="45" xfId="5" applyFont="1" applyBorder="1" applyAlignment="1">
      <alignment horizontal="right"/>
    </xf>
    <xf numFmtId="41" fontId="17" fillId="0" borderId="27" xfId="5" applyFont="1" applyBorder="1" applyAlignment="1">
      <alignment horizontal="right"/>
    </xf>
    <xf numFmtId="41" fontId="17" fillId="0" borderId="15" xfId="5" applyFont="1" applyBorder="1" applyAlignment="1">
      <alignment horizontal="right"/>
    </xf>
    <xf numFmtId="41" fontId="17" fillId="0" borderId="46" xfId="5" applyFont="1" applyBorder="1" applyAlignment="1">
      <alignment horizontal="right"/>
    </xf>
    <xf numFmtId="41" fontId="19" fillId="0" borderId="27" xfId="5" applyFont="1" applyBorder="1" applyAlignment="1">
      <alignment horizontal="right"/>
    </xf>
    <xf numFmtId="41" fontId="19" fillId="0" borderId="16" xfId="5" applyFont="1" applyBorder="1" applyAlignment="1">
      <alignment horizontal="right"/>
    </xf>
    <xf numFmtId="41" fontId="17" fillId="0" borderId="48" xfId="5" applyFont="1" applyBorder="1" applyAlignment="1">
      <alignment horizontal="right"/>
    </xf>
    <xf numFmtId="41" fontId="19" fillId="0" borderId="49" xfId="5" applyFont="1" applyBorder="1" applyAlignment="1">
      <alignment horizontal="right"/>
    </xf>
    <xf numFmtId="3" fontId="31" fillId="0" borderId="0" xfId="0" applyNumberFormat="1" applyFont="1"/>
    <xf numFmtId="3" fontId="32" fillId="0" borderId="0" xfId="0" applyNumberFormat="1" applyFont="1"/>
    <xf numFmtId="0" fontId="20" fillId="0" borderId="14" xfId="0" applyFont="1" applyBorder="1"/>
    <xf numFmtId="3" fontId="20" fillId="0" borderId="15" xfId="0" applyNumberFormat="1" applyFont="1" applyBorder="1"/>
    <xf numFmtId="14" fontId="19" fillId="0" borderId="27" xfId="5" applyNumberFormat="1" applyFont="1" applyFill="1" applyBorder="1" applyAlignment="1">
      <alignment horizontal="center" wrapText="1"/>
    </xf>
    <xf numFmtId="0" fontId="19" fillId="0" borderId="28" xfId="0" applyFont="1" applyBorder="1"/>
    <xf numFmtId="3" fontId="19" fillId="0" borderId="0" xfId="0" applyNumberFormat="1" applyFont="1"/>
    <xf numFmtId="173" fontId="19" fillId="0" borderId="0" xfId="4" applyNumberFormat="1" applyFont="1" applyFill="1" applyBorder="1" applyAlignment="1">
      <alignment horizontal="right"/>
    </xf>
    <xf numFmtId="0" fontId="20" fillId="0" borderId="28" xfId="0" applyFont="1" applyBorder="1"/>
    <xf numFmtId="173" fontId="20" fillId="0" borderId="0" xfId="4" applyNumberFormat="1" applyFont="1" applyFill="1" applyBorder="1" applyAlignment="1">
      <alignment horizontal="right"/>
    </xf>
    <xf numFmtId="49" fontId="20" fillId="0" borderId="28" xfId="0" applyNumberFormat="1" applyFont="1" applyBorder="1"/>
    <xf numFmtId="0" fontId="19" fillId="0" borderId="57" xfId="0" applyFont="1" applyBorder="1"/>
    <xf numFmtId="3" fontId="20" fillId="0" borderId="30" xfId="0" applyNumberFormat="1" applyFont="1" applyBorder="1"/>
    <xf numFmtId="49" fontId="19" fillId="0" borderId="28" xfId="0" applyNumberFormat="1" applyFont="1" applyBorder="1"/>
    <xf numFmtId="3" fontId="20" fillId="0" borderId="3" xfId="0" applyNumberFormat="1" applyFont="1" applyBorder="1"/>
    <xf numFmtId="41" fontId="20" fillId="0" borderId="0" xfId="0" applyNumberFormat="1" applyFont="1"/>
    <xf numFmtId="0" fontId="23" fillId="0" borderId="7" xfId="0" applyFont="1" applyBorder="1"/>
    <xf numFmtId="168" fontId="17" fillId="0" borderId="17" xfId="4" applyNumberFormat="1" applyFont="1" applyBorder="1" applyAlignment="1">
      <alignment horizontal="center" vertical="center" wrapText="1"/>
    </xf>
    <xf numFmtId="41" fontId="23" fillId="0" borderId="31" xfId="5" applyFont="1" applyBorder="1" applyAlignment="1">
      <alignment horizontal="right"/>
    </xf>
    <xf numFmtId="41" fontId="23" fillId="0" borderId="53" xfId="5" applyFont="1" applyBorder="1" applyAlignment="1">
      <alignment horizontal="right"/>
    </xf>
    <xf numFmtId="41" fontId="23" fillId="0" borderId="5" xfId="5" applyFont="1" applyBorder="1" applyAlignment="1">
      <alignment horizontal="right"/>
    </xf>
    <xf numFmtId="0" fontId="19" fillId="0" borderId="5" xfId="0" applyFont="1" applyBorder="1"/>
    <xf numFmtId="41" fontId="20" fillId="0" borderId="5" xfId="5" applyFont="1" applyBorder="1" applyAlignment="1">
      <alignment horizontal="right"/>
    </xf>
    <xf numFmtId="41" fontId="19" fillId="0" borderId="18" xfId="5" applyFont="1" applyBorder="1" applyAlignment="1">
      <alignment horizontal="right"/>
    </xf>
    <xf numFmtId="0" fontId="20" fillId="0" borderId="5" xfId="0" applyFont="1" applyBorder="1"/>
    <xf numFmtId="41" fontId="19" fillId="0" borderId="5" xfId="5" applyFont="1" applyBorder="1" applyAlignment="1">
      <alignment horizontal="right"/>
    </xf>
    <xf numFmtId="0" fontId="33" fillId="0" borderId="5" xfId="0" applyFont="1" applyBorder="1"/>
    <xf numFmtId="41" fontId="33" fillId="0" borderId="5" xfId="5" applyFont="1" applyBorder="1" applyAlignment="1">
      <alignment horizontal="right"/>
    </xf>
    <xf numFmtId="0" fontId="23" fillId="0" borderId="2" xfId="0" applyFont="1" applyBorder="1"/>
    <xf numFmtId="41" fontId="17" fillId="0" borderId="32" xfId="5" applyFont="1" applyBorder="1" applyAlignment="1">
      <alignment horizontal="right"/>
    </xf>
    <xf numFmtId="3" fontId="34" fillId="0" borderId="0" xfId="0" applyNumberFormat="1" applyFont="1"/>
    <xf numFmtId="3" fontId="35" fillId="0" borderId="0" xfId="0" applyNumberFormat="1" applyFont="1"/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9" fillId="0" borderId="59" xfId="0" applyFont="1" applyBorder="1"/>
    <xf numFmtId="0" fontId="19" fillId="0" borderId="60" xfId="0" applyFont="1" applyBorder="1"/>
    <xf numFmtId="3" fontId="20" fillId="0" borderId="61" xfId="0" applyNumberFormat="1" applyFont="1" applyBorder="1"/>
    <xf numFmtId="170" fontId="20" fillId="0" borderId="1" xfId="5" applyNumberFormat="1" applyFont="1" applyFill="1" applyBorder="1" applyAlignment="1">
      <alignment horizontal="right" vertical="center"/>
    </xf>
    <xf numFmtId="41" fontId="14" fillId="0" borderId="1" xfId="5" applyFont="1" applyFill="1" applyBorder="1"/>
    <xf numFmtId="41" fontId="36" fillId="0" borderId="18" xfId="5" applyFont="1" applyBorder="1" applyAlignment="1"/>
    <xf numFmtId="41" fontId="7" fillId="0" borderId="1" xfId="5" applyFont="1" applyBorder="1" applyAlignment="1">
      <alignment horizontal="right" wrapText="1"/>
    </xf>
    <xf numFmtId="14" fontId="17" fillId="0" borderId="33" xfId="0" applyNumberFormat="1" applyFont="1" applyBorder="1" applyAlignment="1">
      <alignment horizontal="center" wrapText="1"/>
    </xf>
    <xf numFmtId="14" fontId="17" fillId="0" borderId="34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/>
    </xf>
    <xf numFmtId="173" fontId="20" fillId="0" borderId="29" xfId="4" applyNumberFormat="1" applyFont="1" applyFill="1" applyBorder="1" applyAlignment="1"/>
    <xf numFmtId="41" fontId="19" fillId="0" borderId="29" xfId="5" applyFont="1" applyFill="1" applyBorder="1" applyAlignment="1"/>
    <xf numFmtId="41" fontId="20" fillId="0" borderId="29" xfId="5" applyFont="1" applyFill="1" applyBorder="1" applyAlignment="1"/>
    <xf numFmtId="173" fontId="19" fillId="0" borderId="29" xfId="4" applyNumberFormat="1" applyFont="1" applyFill="1" applyBorder="1" applyAlignment="1"/>
    <xf numFmtId="173" fontId="20" fillId="0" borderId="56" xfId="4" applyNumberFormat="1" applyFont="1" applyFill="1" applyBorder="1" applyAlignment="1"/>
    <xf numFmtId="0" fontId="20" fillId="0" borderId="0" xfId="0" applyFont="1" applyAlignment="1">
      <alignment horizontal="right"/>
    </xf>
    <xf numFmtId="41" fontId="19" fillId="0" borderId="30" xfId="5" applyFont="1" applyBorder="1" applyAlignment="1">
      <alignment horizontal="right"/>
    </xf>
    <xf numFmtId="41" fontId="19" fillId="0" borderId="61" xfId="5" applyFont="1" applyBorder="1" applyAlignment="1">
      <alignment horizontal="right"/>
    </xf>
    <xf numFmtId="0" fontId="21" fillId="0" borderId="0" xfId="5" applyNumberFormat="1" applyFont="1" applyBorder="1" applyAlignment="1"/>
    <xf numFmtId="0" fontId="7" fillId="0" borderId="14" xfId="0" applyFont="1" applyBorder="1" applyAlignment="1">
      <alignment wrapText="1"/>
    </xf>
    <xf numFmtId="41" fontId="7" fillId="0" borderId="0" xfId="5" applyFont="1" applyFill="1" applyBorder="1" applyAlignment="1">
      <alignment horizontal="right" wrapText="1"/>
    </xf>
    <xf numFmtId="41" fontId="14" fillId="0" borderId="1" xfId="5" applyFont="1" applyBorder="1" applyAlignment="1">
      <alignment wrapText="1"/>
    </xf>
    <xf numFmtId="41" fontId="14" fillId="0" borderId="0" xfId="5" applyFont="1" applyAlignment="1"/>
    <xf numFmtId="0" fontId="14" fillId="3" borderId="0" xfId="0" applyFont="1" applyFill="1"/>
    <xf numFmtId="0" fontId="18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indent="5"/>
    </xf>
    <xf numFmtId="0" fontId="16" fillId="3" borderId="0" xfId="3" applyFont="1" applyFill="1" applyAlignment="1">
      <alignment vertical="center"/>
    </xf>
    <xf numFmtId="0" fontId="7" fillId="3" borderId="0" xfId="0" applyFont="1" applyFill="1"/>
    <xf numFmtId="0" fontId="14" fillId="0" borderId="1" xfId="0" applyFont="1" applyBorder="1" applyAlignment="1">
      <alignment horizontal="center"/>
    </xf>
    <xf numFmtId="0" fontId="37" fillId="6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wrapText="1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9" fontId="14" fillId="3" borderId="0" xfId="0" applyNumberFormat="1" applyFont="1" applyFill="1" applyAlignment="1">
      <alignment horizontal="left"/>
    </xf>
    <xf numFmtId="41" fontId="14" fillId="0" borderId="0" xfId="5" applyFont="1" applyBorder="1" applyAlignment="1"/>
    <xf numFmtId="41" fontId="7" fillId="0" borderId="0" xfId="5" applyFont="1" applyBorder="1" applyAlignment="1"/>
    <xf numFmtId="173" fontId="24" fillId="0" borderId="1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170" fontId="20" fillId="0" borderId="2" xfId="5" applyNumberFormat="1" applyFont="1" applyFill="1" applyBorder="1" applyAlignment="1">
      <alignment horizontal="right" vertical="center"/>
    </xf>
    <xf numFmtId="41" fontId="20" fillId="0" borderId="2" xfId="5" applyFont="1" applyBorder="1" applyAlignment="1">
      <alignment vertical="center"/>
    </xf>
    <xf numFmtId="41" fontId="20" fillId="0" borderId="2" xfId="5" applyFont="1" applyFill="1" applyBorder="1" applyAlignment="1">
      <alignment horizontal="right" vertical="center"/>
    </xf>
    <xf numFmtId="41" fontId="24" fillId="0" borderId="2" xfId="5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41" fontId="20" fillId="0" borderId="0" xfId="5" applyFont="1" applyFill="1" applyBorder="1" applyAlignment="1">
      <alignment horizontal="right" vertical="center"/>
    </xf>
    <xf numFmtId="0" fontId="24" fillId="0" borderId="63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41" fontId="14" fillId="0" borderId="1" xfId="5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8" fillId="0" borderId="5" xfId="0" applyFont="1" applyBorder="1" applyAlignment="1">
      <alignment horizontal="left"/>
    </xf>
    <xf numFmtId="0" fontId="5" fillId="0" borderId="5" xfId="3" applyBorder="1"/>
    <xf numFmtId="0" fontId="5" fillId="0" borderId="12" xfId="3" applyBorder="1" applyAlignment="1">
      <alignment horizontal="left"/>
    </xf>
    <xf numFmtId="0" fontId="5" fillId="0" borderId="12" xfId="3" applyBorder="1"/>
    <xf numFmtId="0" fontId="5" fillId="0" borderId="0" xfId="3" applyAlignment="1">
      <alignment horizontal="justify" vertical="center"/>
    </xf>
    <xf numFmtId="0" fontId="5" fillId="0" borderId="0" xfId="3" applyFill="1"/>
    <xf numFmtId="173" fontId="20" fillId="0" borderId="0" xfId="4" applyNumberFormat="1" applyFont="1" applyBorder="1"/>
    <xf numFmtId="41" fontId="7" fillId="0" borderId="1" xfId="5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73" fontId="14" fillId="0" borderId="0" xfId="4" applyNumberFormat="1" applyFont="1" applyBorder="1"/>
    <xf numFmtId="0" fontId="24" fillId="0" borderId="0" xfId="0" applyFont="1" applyAlignment="1">
      <alignment horizontal="center" vertical="center" wrapText="1"/>
    </xf>
    <xf numFmtId="0" fontId="14" fillId="0" borderId="0" xfId="0" quotePrefix="1" applyFont="1"/>
    <xf numFmtId="168" fontId="19" fillId="0" borderId="0" xfId="4" applyNumberFormat="1" applyFont="1" applyFill="1"/>
    <xf numFmtId="3" fontId="39" fillId="0" borderId="0" xfId="0" applyNumberFormat="1" applyFont="1"/>
    <xf numFmtId="0" fontId="39" fillId="0" borderId="0" xfId="0" applyFont="1"/>
    <xf numFmtId="0" fontId="40" fillId="0" borderId="0" xfId="0" applyFont="1"/>
    <xf numFmtId="41" fontId="43" fillId="0" borderId="1" xfId="5" applyFont="1" applyBorder="1" applyAlignment="1">
      <alignment horizontal="right"/>
    </xf>
    <xf numFmtId="41" fontId="44" fillId="0" borderId="1" xfId="5" applyFont="1" applyBorder="1" applyAlignment="1"/>
    <xf numFmtId="41" fontId="44" fillId="0" borderId="1" xfId="5" applyFont="1" applyBorder="1" applyAlignment="1">
      <alignment horizontal="right"/>
    </xf>
    <xf numFmtId="41" fontId="45" fillId="0" borderId="1" xfId="5" applyFont="1" applyBorder="1" applyAlignment="1"/>
    <xf numFmtId="41" fontId="45" fillId="0" borderId="1" xfId="5" applyFont="1" applyBorder="1" applyAlignment="1">
      <alignment horizontal="right"/>
    </xf>
    <xf numFmtId="41" fontId="7" fillId="0" borderId="0" xfId="5" applyFont="1" applyBorder="1" applyAlignment="1">
      <alignment horizontal="center"/>
    </xf>
    <xf numFmtId="41" fontId="20" fillId="0" borderId="2" xfId="5" applyFont="1" applyBorder="1"/>
    <xf numFmtId="170" fontId="14" fillId="0" borderId="0" xfId="0" applyNumberFormat="1" applyFont="1" applyAlignment="1">
      <alignment wrapText="1"/>
    </xf>
    <xf numFmtId="41" fontId="7" fillId="0" borderId="1" xfId="5" applyFont="1" applyFill="1" applyBorder="1" applyAlignment="1"/>
    <xf numFmtId="49" fontId="14" fillId="0" borderId="1" xfId="0" applyNumberFormat="1" applyFont="1" applyBorder="1"/>
    <xf numFmtId="0" fontId="16" fillId="0" borderId="28" xfId="3" applyFont="1" applyBorder="1"/>
    <xf numFmtId="49" fontId="16" fillId="0" borderId="28" xfId="3" applyNumberFormat="1" applyFont="1" applyBorder="1"/>
    <xf numFmtId="41" fontId="34" fillId="0" borderId="0" xfId="5" applyFont="1"/>
    <xf numFmtId="0" fontId="33" fillId="0" borderId="0" xfId="0" applyFont="1"/>
    <xf numFmtId="0" fontId="14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1" fontId="14" fillId="0" borderId="7" xfId="5" applyFont="1" applyBorder="1" applyAlignment="1">
      <alignment wrapText="1"/>
    </xf>
    <xf numFmtId="41" fontId="14" fillId="0" borderId="1" xfId="5" applyFont="1" applyBorder="1" applyAlignment="1">
      <alignment horizontal="left" wrapText="1"/>
    </xf>
    <xf numFmtId="41" fontId="14" fillId="0" borderId="7" xfId="5" applyFont="1" applyBorder="1" applyAlignment="1">
      <alignment horizontal="left" vertical="center" wrapText="1"/>
    </xf>
    <xf numFmtId="0" fontId="37" fillId="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0" fontId="50" fillId="0" borderId="0" xfId="0" applyFont="1"/>
    <xf numFmtId="41" fontId="50" fillId="0" borderId="0" xfId="5" applyFont="1"/>
    <xf numFmtId="41" fontId="0" fillId="0" borderId="0" xfId="5" applyFont="1"/>
    <xf numFmtId="0" fontId="48" fillId="7" borderId="0" xfId="25" applyFont="1" applyAlignment="1">
      <alignment horizontal="center"/>
    </xf>
    <xf numFmtId="49" fontId="48" fillId="7" borderId="0" xfId="25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/>
    <xf numFmtId="41" fontId="51" fillId="0" borderId="0" xfId="0" applyNumberFormat="1" applyFont="1"/>
    <xf numFmtId="0" fontId="5" fillId="0" borderId="0" xfId="3" quotePrefix="1" applyFill="1"/>
    <xf numFmtId="41" fontId="2" fillId="0" borderId="0" xfId="5" applyFont="1"/>
    <xf numFmtId="0" fontId="52" fillId="0" borderId="0" xfId="0" applyFont="1"/>
    <xf numFmtId="0" fontId="53" fillId="0" borderId="0" xfId="0" applyFont="1"/>
    <xf numFmtId="0" fontId="54" fillId="0" borderId="0" xfId="3" quotePrefix="1" applyFont="1"/>
    <xf numFmtId="49" fontId="50" fillId="0" borderId="0" xfId="5" applyNumberFormat="1" applyFont="1" applyAlignment="1">
      <alignment horizontal="center"/>
    </xf>
    <xf numFmtId="10" fontId="0" fillId="0" borderId="0" xfId="24" applyNumberFormat="1" applyFont="1" applyAlignment="1">
      <alignment horizontal="center"/>
    </xf>
    <xf numFmtId="174" fontId="0" fillId="0" borderId="0" xfId="5" applyNumberFormat="1" applyFont="1"/>
    <xf numFmtId="10" fontId="3" fillId="7" borderId="0" xfId="24" applyNumberFormat="1" applyFont="1" applyFill="1"/>
    <xf numFmtId="0" fontId="55" fillId="0" borderId="0" xfId="0" applyFont="1"/>
    <xf numFmtId="14" fontId="3" fillId="7" borderId="0" xfId="25" applyNumberFormat="1" applyAlignment="1">
      <alignment horizontal="center"/>
    </xf>
    <xf numFmtId="0" fontId="3" fillId="7" borderId="0" xfId="25" applyAlignment="1">
      <alignment horizontal="center"/>
    </xf>
    <xf numFmtId="173" fontId="23" fillId="0" borderId="12" xfId="4" quotePrefix="1" applyNumberFormat="1" applyFont="1" applyFill="1" applyBorder="1" applyAlignment="1">
      <alignment horizontal="right"/>
    </xf>
    <xf numFmtId="0" fontId="3" fillId="7" borderId="0" xfId="25"/>
    <xf numFmtId="41" fontId="3" fillId="7" borderId="0" xfId="25" applyNumberFormat="1"/>
    <xf numFmtId="10" fontId="50" fillId="0" borderId="0" xfId="24" applyNumberFormat="1" applyFont="1" applyAlignment="1">
      <alignment horizontal="center"/>
    </xf>
    <xf numFmtId="49" fontId="57" fillId="0" borderId="28" xfId="0" applyNumberFormat="1" applyFont="1" applyBorder="1"/>
    <xf numFmtId="3" fontId="58" fillId="0" borderId="0" xfId="0" applyNumberFormat="1" applyFont="1"/>
    <xf numFmtId="173" fontId="57" fillId="0" borderId="0" xfId="4" applyNumberFormat="1" applyFont="1" applyFill="1" applyBorder="1" applyAlignment="1">
      <alignment horizontal="right"/>
    </xf>
    <xf numFmtId="3" fontId="57" fillId="0" borderId="0" xfId="0" applyNumberFormat="1" applyFont="1"/>
    <xf numFmtId="0" fontId="25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173" fontId="25" fillId="0" borderId="1" xfId="4" applyNumberFormat="1" applyFont="1" applyBorder="1" applyAlignment="1">
      <alignment horizontal="right" vertical="center"/>
    </xf>
    <xf numFmtId="173" fontId="20" fillId="0" borderId="51" xfId="4" applyNumberFormat="1" applyFont="1" applyFill="1" applyBorder="1" applyAlignment="1">
      <alignment vertical="center"/>
    </xf>
    <xf numFmtId="173" fontId="20" fillId="0" borderId="30" xfId="4" applyNumberFormat="1" applyFont="1" applyFill="1" applyBorder="1" applyAlignment="1">
      <alignment vertical="center"/>
    </xf>
    <xf numFmtId="173" fontId="24" fillId="0" borderId="9" xfId="4" applyNumberFormat="1" applyFont="1" applyFill="1" applyBorder="1" applyAlignment="1">
      <alignment horizontal="right" vertical="center"/>
    </xf>
    <xf numFmtId="173" fontId="24" fillId="0" borderId="8" xfId="4" applyNumberFormat="1" applyFont="1" applyFill="1" applyBorder="1" applyAlignment="1">
      <alignment horizontal="right" vertical="center"/>
    </xf>
    <xf numFmtId="173" fontId="25" fillId="0" borderId="6" xfId="4" applyNumberFormat="1" applyFont="1" applyBorder="1" applyAlignment="1">
      <alignment vertical="center"/>
    </xf>
    <xf numFmtId="41" fontId="19" fillId="0" borderId="2" xfId="5" applyFont="1" applyBorder="1" applyAlignment="1">
      <alignment vertical="center"/>
    </xf>
    <xf numFmtId="41" fontId="20" fillId="0" borderId="51" xfId="5" applyFont="1" applyBorder="1" applyAlignment="1">
      <alignment vertical="center"/>
    </xf>
    <xf numFmtId="41" fontId="20" fillId="0" borderId="30" xfId="5" applyFont="1" applyFill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173" fontId="24" fillId="0" borderId="0" xfId="4" applyNumberFormat="1" applyFont="1" applyBorder="1" applyAlignment="1">
      <alignment horizontal="center" vertical="center"/>
    </xf>
    <xf numFmtId="41" fontId="19" fillId="0" borderId="2" xfId="5" applyFont="1" applyFill="1" applyBorder="1" applyAlignment="1">
      <alignment horizontal="right" vertical="center"/>
    </xf>
    <xf numFmtId="171" fontId="7" fillId="0" borderId="1" xfId="5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0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 vertical="center" wrapText="1"/>
    </xf>
    <xf numFmtId="41" fontId="20" fillId="0" borderId="1" xfId="5" applyFont="1" applyBorder="1"/>
    <xf numFmtId="41" fontId="20" fillId="0" borderId="30" xfId="5" applyFont="1" applyBorder="1"/>
    <xf numFmtId="41" fontId="19" fillId="0" borderId="2" xfId="5" applyFont="1" applyBorder="1"/>
    <xf numFmtId="0" fontId="59" fillId="0" borderId="0" xfId="0" applyFont="1"/>
    <xf numFmtId="41" fontId="8" fillId="0" borderId="0" xfId="5" applyFont="1" applyFill="1" applyBorder="1"/>
    <xf numFmtId="3" fontId="10" fillId="0" borderId="0" xfId="4" applyNumberFormat="1" applyFont="1" applyFill="1" applyBorder="1" applyAlignment="1">
      <alignment horizontal="center"/>
    </xf>
    <xf numFmtId="41" fontId="0" fillId="0" borderId="0" xfId="0" applyNumberFormat="1"/>
    <xf numFmtId="0" fontId="5" fillId="0" borderId="0" xfId="3" quotePrefix="1"/>
    <xf numFmtId="0" fontId="5" fillId="0" borderId="0" xfId="3"/>
    <xf numFmtId="41" fontId="50" fillId="0" borderId="0" xfId="0" applyNumberFormat="1" applyFont="1"/>
    <xf numFmtId="0" fontId="61" fillId="0" borderId="0" xfId="26" applyAlignment="1">
      <alignment wrapText="1"/>
    </xf>
    <xf numFmtId="49" fontId="33" fillId="0" borderId="28" xfId="0" applyNumberFormat="1" applyFont="1" applyBorder="1"/>
    <xf numFmtId="3" fontId="33" fillId="0" borderId="0" xfId="0" applyNumberFormat="1" applyFont="1"/>
    <xf numFmtId="173" fontId="33" fillId="0" borderId="0" xfId="4" applyNumberFormat="1" applyFont="1" applyFill="1" applyBorder="1" applyAlignment="1">
      <alignment horizontal="right"/>
    </xf>
    <xf numFmtId="175" fontId="62" fillId="0" borderId="0" xfId="12" applyNumberFormat="1" applyFont="1"/>
    <xf numFmtId="175" fontId="1" fillId="0" borderId="0" xfId="12" applyNumberFormat="1"/>
    <xf numFmtId="0" fontId="1" fillId="0" borderId="0" xfId="12"/>
    <xf numFmtId="175" fontId="63" fillId="0" borderId="66" xfId="12" applyNumberFormat="1" applyFont="1" applyBorder="1"/>
    <xf numFmtId="175" fontId="63" fillId="0" borderId="67" xfId="12" applyNumberFormat="1" applyFont="1" applyBorder="1"/>
    <xf numFmtId="175" fontId="63" fillId="0" borderId="66" xfId="12" applyNumberFormat="1" applyFont="1" applyBorder="1" applyAlignment="1">
      <alignment horizontal="centerContinuous"/>
    </xf>
    <xf numFmtId="175" fontId="63" fillId="0" borderId="68" xfId="12" applyNumberFormat="1" applyFont="1" applyBorder="1" applyAlignment="1">
      <alignment horizontal="centerContinuous"/>
    </xf>
    <xf numFmtId="175" fontId="63" fillId="0" borderId="65" xfId="12" applyNumberFormat="1" applyFont="1" applyBorder="1"/>
    <xf numFmtId="175" fontId="64" fillId="0" borderId="67" xfId="12" applyNumberFormat="1" applyFont="1" applyBorder="1" applyAlignment="1">
      <alignment horizontal="center"/>
    </xf>
    <xf numFmtId="175" fontId="63" fillId="0" borderId="68" xfId="12" applyNumberFormat="1" applyFont="1" applyBorder="1"/>
    <xf numFmtId="175" fontId="63" fillId="0" borderId="28" xfId="12" applyNumberFormat="1" applyFont="1" applyBorder="1" applyAlignment="1">
      <alignment horizontal="center"/>
    </xf>
    <xf numFmtId="175" fontId="64" fillId="0" borderId="69" xfId="12" applyNumberFormat="1" applyFont="1" applyBorder="1" applyAlignment="1">
      <alignment horizontal="center"/>
    </xf>
    <xf numFmtId="175" fontId="64" fillId="0" borderId="70" xfId="12" applyNumberFormat="1" applyFont="1" applyBorder="1" applyAlignment="1">
      <alignment horizontal="centerContinuous"/>
    </xf>
    <xf numFmtId="175" fontId="63" fillId="0" borderId="71" xfId="12" applyNumberFormat="1" applyFont="1" applyBorder="1" applyAlignment="1">
      <alignment horizontal="centerContinuous"/>
    </xf>
    <xf numFmtId="175" fontId="63" fillId="0" borderId="28" xfId="12" applyNumberFormat="1" applyFont="1" applyBorder="1" applyAlignment="1">
      <alignment horizontal="centerContinuous"/>
    </xf>
    <xf numFmtId="175" fontId="63" fillId="0" borderId="0" xfId="12" applyNumberFormat="1" applyFont="1" applyAlignment="1">
      <alignment horizontal="centerContinuous"/>
    </xf>
    <xf numFmtId="175" fontId="36" fillId="0" borderId="69" xfId="12" applyNumberFormat="1" applyFont="1" applyBorder="1" applyAlignment="1">
      <alignment horizontal="center"/>
    </xf>
    <xf numFmtId="175" fontId="63" fillId="0" borderId="29" xfId="12" applyNumberFormat="1" applyFont="1" applyBorder="1" applyAlignment="1">
      <alignment horizontal="center"/>
    </xf>
    <xf numFmtId="175" fontId="63" fillId="0" borderId="28" xfId="12" applyNumberFormat="1" applyFont="1" applyBorder="1"/>
    <xf numFmtId="175" fontId="64" fillId="0" borderId="68" xfId="12" applyNumberFormat="1" applyFont="1" applyBorder="1" applyAlignment="1">
      <alignment horizontal="center"/>
    </xf>
    <xf numFmtId="175" fontId="64" fillId="0" borderId="66" xfId="12" applyNumberFormat="1" applyFont="1" applyBorder="1" applyAlignment="1">
      <alignment horizontal="center"/>
    </xf>
    <xf numFmtId="175" fontId="36" fillId="0" borderId="67" xfId="12" applyNumberFormat="1" applyFont="1" applyBorder="1" applyAlignment="1">
      <alignment horizontal="center"/>
    </xf>
    <xf numFmtId="175" fontId="36" fillId="0" borderId="68" xfId="12" applyNumberFormat="1" applyFont="1" applyBorder="1" applyAlignment="1">
      <alignment horizontal="center"/>
    </xf>
    <xf numFmtId="175" fontId="65" fillId="0" borderId="68" xfId="12" applyNumberFormat="1" applyFont="1" applyBorder="1" applyAlignment="1">
      <alignment horizontal="center"/>
    </xf>
    <xf numFmtId="175" fontId="63" fillId="0" borderId="70" xfId="12" applyNumberFormat="1" applyFont="1" applyBorder="1" applyAlignment="1">
      <alignment horizontal="center"/>
    </xf>
    <xf numFmtId="175" fontId="66" fillId="0" borderId="72" xfId="12" applyNumberFormat="1" applyFont="1" applyBorder="1" applyAlignment="1">
      <alignment horizontal="center"/>
    </xf>
    <xf numFmtId="175" fontId="64" fillId="0" borderId="72" xfId="12" applyNumberFormat="1" applyFont="1" applyBorder="1" applyAlignment="1">
      <alignment horizontal="center"/>
    </xf>
    <xf numFmtId="175" fontId="64" fillId="0" borderId="71" xfId="12" applyNumberFormat="1" applyFont="1" applyBorder="1" applyAlignment="1">
      <alignment horizontal="center"/>
    </xf>
    <xf numFmtId="175" fontId="64" fillId="0" borderId="70" xfId="12" applyNumberFormat="1" applyFont="1" applyBorder="1" applyAlignment="1">
      <alignment horizontal="center"/>
    </xf>
    <xf numFmtId="175" fontId="36" fillId="0" borderId="72" xfId="12" applyNumberFormat="1" applyFont="1" applyBorder="1" applyAlignment="1">
      <alignment horizontal="center"/>
    </xf>
    <xf numFmtId="175" fontId="36" fillId="0" borderId="71" xfId="12" applyNumberFormat="1" applyFont="1" applyBorder="1" applyAlignment="1">
      <alignment horizontal="center"/>
    </xf>
    <xf numFmtId="175" fontId="67" fillId="0" borderId="71" xfId="12" applyNumberFormat="1" applyFont="1" applyBorder="1" applyAlignment="1">
      <alignment horizontal="center"/>
    </xf>
    <xf numFmtId="175" fontId="63" fillId="0" borderId="71" xfId="12" applyNumberFormat="1" applyFont="1" applyBorder="1"/>
    <xf numFmtId="175" fontId="68" fillId="0" borderId="73" xfId="12" applyNumberFormat="1" applyFont="1" applyBorder="1"/>
    <xf numFmtId="175" fontId="1" fillId="0" borderId="74" xfId="12" applyNumberFormat="1" applyBorder="1"/>
    <xf numFmtId="175" fontId="1" fillId="0" borderId="74" xfId="12" applyNumberFormat="1" applyBorder="1" applyAlignment="1">
      <alignment horizontal="center"/>
    </xf>
    <xf numFmtId="175" fontId="1" fillId="0" borderId="75" xfId="12" applyNumberFormat="1" applyBorder="1"/>
    <xf numFmtId="175" fontId="69" fillId="0" borderId="76" xfId="12" applyNumberFormat="1" applyFont="1" applyBorder="1"/>
    <xf numFmtId="175" fontId="69" fillId="0" borderId="2" xfId="12" applyNumberFormat="1" applyFont="1" applyBorder="1"/>
    <xf numFmtId="175" fontId="69" fillId="0" borderId="2" xfId="12" applyNumberFormat="1" applyFont="1" applyBorder="1" applyAlignment="1">
      <alignment horizontal="center"/>
    </xf>
    <xf numFmtId="175" fontId="69" fillId="0" borderId="77" xfId="12" applyNumberFormat="1" applyFont="1" applyBorder="1"/>
    <xf numFmtId="170" fontId="70" fillId="0" borderId="0" xfId="10" applyNumberFormat="1" applyFont="1"/>
    <xf numFmtId="175" fontId="69" fillId="8" borderId="76" xfId="12" applyNumberFormat="1" applyFont="1" applyFill="1" applyBorder="1"/>
    <xf numFmtId="175" fontId="69" fillId="8" borderId="2" xfId="12" applyNumberFormat="1" applyFont="1" applyFill="1" applyBorder="1"/>
    <xf numFmtId="175" fontId="69" fillId="8" borderId="2" xfId="12" applyNumberFormat="1" applyFont="1" applyFill="1" applyBorder="1" applyAlignment="1">
      <alignment horizontal="center"/>
    </xf>
    <xf numFmtId="175" fontId="1" fillId="0" borderId="78" xfId="12" applyNumberFormat="1" applyBorder="1"/>
    <xf numFmtId="175" fontId="1" fillId="0" borderId="1" xfId="12" applyNumberFormat="1" applyBorder="1"/>
    <xf numFmtId="175" fontId="1" fillId="0" borderId="1" xfId="12" applyNumberFormat="1" applyBorder="1" applyAlignment="1">
      <alignment horizontal="center"/>
    </xf>
    <xf numFmtId="175" fontId="1" fillId="0" borderId="77" xfId="12" applyNumberFormat="1" applyBorder="1"/>
    <xf numFmtId="175" fontId="69" fillId="0" borderId="78" xfId="12" applyNumberFormat="1" applyFont="1" applyBorder="1"/>
    <xf numFmtId="175" fontId="69" fillId="0" borderId="1" xfId="12" applyNumberFormat="1" applyFont="1" applyBorder="1"/>
    <xf numFmtId="175" fontId="1" fillId="9" borderId="1" xfId="12" applyNumberFormat="1" applyFill="1" applyBorder="1"/>
    <xf numFmtId="175" fontId="1" fillId="9" borderId="77" xfId="12" applyNumberFormat="1" applyFill="1" applyBorder="1"/>
    <xf numFmtId="175" fontId="71" fillId="0" borderId="1" xfId="12" applyNumberFormat="1" applyFont="1" applyBorder="1"/>
    <xf numFmtId="175" fontId="69" fillId="10" borderId="78" xfId="12" applyNumberFormat="1" applyFont="1" applyFill="1" applyBorder="1"/>
    <xf numFmtId="175" fontId="69" fillId="10" borderId="1" xfId="12" applyNumberFormat="1" applyFont="1" applyFill="1" applyBorder="1"/>
    <xf numFmtId="175" fontId="71" fillId="10" borderId="1" xfId="12" applyNumberFormat="1" applyFont="1" applyFill="1" applyBorder="1"/>
    <xf numFmtId="175" fontId="69" fillId="10" borderId="2" xfId="12" applyNumberFormat="1" applyFont="1" applyFill="1" applyBorder="1"/>
    <xf numFmtId="175" fontId="69" fillId="8" borderId="78" xfId="12" applyNumberFormat="1" applyFont="1" applyFill="1" applyBorder="1"/>
    <xf numFmtId="175" fontId="72" fillId="0" borderId="1" xfId="12" applyNumberFormat="1" applyFont="1" applyBorder="1"/>
    <xf numFmtId="175" fontId="72" fillId="0" borderId="77" xfId="12" applyNumberFormat="1" applyFont="1" applyBorder="1"/>
    <xf numFmtId="3" fontId="1" fillId="0" borderId="0" xfId="12" applyNumberFormat="1"/>
    <xf numFmtId="0" fontId="1" fillId="11" borderId="0" xfId="12" applyFill="1"/>
    <xf numFmtId="175" fontId="69" fillId="8" borderId="7" xfId="12" applyNumberFormat="1" applyFont="1" applyFill="1" applyBorder="1"/>
    <xf numFmtId="175" fontId="1" fillId="8" borderId="1" xfId="12" applyNumberFormat="1" applyFill="1" applyBorder="1"/>
    <xf numFmtId="175" fontId="69" fillId="8" borderId="1" xfId="12" applyNumberFormat="1" applyFont="1" applyFill="1" applyBorder="1"/>
    <xf numFmtId="175" fontId="72" fillId="9" borderId="1" xfId="12" applyNumberFormat="1" applyFont="1" applyFill="1" applyBorder="1"/>
    <xf numFmtId="175" fontId="72" fillId="9" borderId="77" xfId="12" applyNumberFormat="1" applyFont="1" applyFill="1" applyBorder="1"/>
    <xf numFmtId="175" fontId="73" fillId="0" borderId="78" xfId="12" applyNumberFormat="1" applyFont="1" applyBorder="1" applyAlignment="1">
      <alignment horizontal="center"/>
    </xf>
    <xf numFmtId="175" fontId="63" fillId="0" borderId="79" xfId="12" applyNumberFormat="1" applyFont="1" applyBorder="1"/>
    <xf numFmtId="175" fontId="68" fillId="0" borderId="78" xfId="12" applyNumberFormat="1" applyFont="1" applyBorder="1"/>
    <xf numFmtId="3" fontId="74" fillId="0" borderId="0" xfId="12" applyNumberFormat="1" applyFont="1"/>
    <xf numFmtId="175" fontId="74" fillId="0" borderId="1" xfId="12" applyNumberFormat="1" applyFont="1" applyBorder="1"/>
    <xf numFmtId="175" fontId="74" fillId="0" borderId="2" xfId="12" applyNumberFormat="1" applyFont="1" applyBorder="1"/>
    <xf numFmtId="175" fontId="1" fillId="0" borderId="7" xfId="12" applyNumberFormat="1" applyBorder="1"/>
    <xf numFmtId="175" fontId="75" fillId="0" borderId="1" xfId="12" applyNumberFormat="1" applyFont="1" applyBorder="1"/>
    <xf numFmtId="175" fontId="1" fillId="10" borderId="78" xfId="12" applyNumberFormat="1" applyFill="1" applyBorder="1"/>
    <xf numFmtId="175" fontId="1" fillId="10" borderId="1" xfId="12" applyNumberFormat="1" applyFill="1" applyBorder="1"/>
    <xf numFmtId="175" fontId="75" fillId="10" borderId="1" xfId="12" applyNumberFormat="1" applyFont="1" applyFill="1" applyBorder="1"/>
    <xf numFmtId="175" fontId="69" fillId="10" borderId="7" xfId="12" applyNumberFormat="1" applyFont="1" applyFill="1" applyBorder="1"/>
    <xf numFmtId="0" fontId="1" fillId="9" borderId="0" xfId="12" applyFill="1"/>
    <xf numFmtId="175" fontId="69" fillId="10" borderId="80" xfId="12" applyNumberFormat="1" applyFont="1" applyFill="1" applyBorder="1"/>
    <xf numFmtId="175" fontId="74" fillId="10" borderId="1" xfId="12" applyNumberFormat="1" applyFont="1" applyFill="1" applyBorder="1"/>
    <xf numFmtId="175" fontId="68" fillId="0" borderId="78" xfId="12" applyNumberFormat="1" applyFont="1" applyBorder="1" applyAlignment="1">
      <alignment horizontal="center"/>
    </xf>
    <xf numFmtId="175" fontId="63" fillId="0" borderId="7" xfId="12" applyNumberFormat="1" applyFont="1" applyBorder="1"/>
    <xf numFmtId="175" fontId="76" fillId="0" borderId="1" xfId="12" applyNumberFormat="1" applyFont="1" applyBorder="1"/>
    <xf numFmtId="175" fontId="1" fillId="8" borderId="78" xfId="12" applyNumberFormat="1" applyFill="1" applyBorder="1"/>
    <xf numFmtId="175" fontId="1" fillId="8" borderId="7" xfId="12" applyNumberFormat="1" applyFill="1" applyBorder="1"/>
    <xf numFmtId="175" fontId="76" fillId="8" borderId="1" xfId="12" applyNumberFormat="1" applyFont="1" applyFill="1" applyBorder="1"/>
    <xf numFmtId="175" fontId="75" fillId="8" borderId="78" xfId="12" applyNumberFormat="1" applyFont="1" applyFill="1" applyBorder="1"/>
    <xf numFmtId="175" fontId="75" fillId="8" borderId="7" xfId="12" applyNumberFormat="1" applyFont="1" applyFill="1" applyBorder="1"/>
    <xf numFmtId="175" fontId="77" fillId="8" borderId="78" xfId="12" applyNumberFormat="1" applyFont="1" applyFill="1" applyBorder="1"/>
    <xf numFmtId="175" fontId="1" fillId="0" borderId="5" xfId="12" applyNumberFormat="1" applyBorder="1"/>
    <xf numFmtId="175" fontId="75" fillId="8" borderId="81" xfId="12" applyNumberFormat="1" applyFont="1" applyFill="1" applyBorder="1"/>
    <xf numFmtId="175" fontId="75" fillId="8" borderId="1" xfId="12" applyNumberFormat="1" applyFont="1" applyFill="1" applyBorder="1"/>
    <xf numFmtId="175" fontId="74" fillId="8" borderId="1" xfId="12" applyNumberFormat="1" applyFont="1" applyFill="1" applyBorder="1"/>
    <xf numFmtId="175" fontId="78" fillId="8" borderId="1" xfId="12" applyNumberFormat="1" applyFont="1" applyFill="1" applyBorder="1"/>
    <xf numFmtId="175" fontId="69" fillId="9" borderId="2" xfId="12" applyNumberFormat="1" applyFont="1" applyFill="1" applyBorder="1"/>
    <xf numFmtId="175" fontId="73" fillId="8" borderId="78" xfId="12" applyNumberFormat="1" applyFont="1" applyFill="1" applyBorder="1" applyAlignment="1">
      <alignment horizontal="centerContinuous"/>
    </xf>
    <xf numFmtId="175" fontId="63" fillId="8" borderId="1" xfId="12" applyNumberFormat="1" applyFont="1" applyFill="1" applyBorder="1"/>
    <xf numFmtId="175" fontId="69" fillId="0" borderId="39" xfId="12" applyNumberFormat="1" applyFont="1" applyBorder="1" applyAlignment="1">
      <alignment horizontal="left"/>
    </xf>
    <xf numFmtId="175" fontId="69" fillId="0" borderId="5" xfId="12" applyNumberFormat="1" applyFont="1" applyBorder="1"/>
    <xf numFmtId="175" fontId="1" fillId="0" borderId="82" xfId="12" applyNumberFormat="1" applyBorder="1"/>
    <xf numFmtId="175" fontId="1" fillId="0" borderId="83" xfId="12" applyNumberFormat="1" applyBorder="1"/>
    <xf numFmtId="175" fontId="79" fillId="9" borderId="82" xfId="12" applyNumberFormat="1" applyFont="1" applyFill="1" applyBorder="1"/>
    <xf numFmtId="175" fontId="69" fillId="0" borderId="82" xfId="12" applyNumberFormat="1" applyFont="1" applyBorder="1"/>
    <xf numFmtId="41" fontId="1" fillId="0" borderId="0" xfId="12" applyNumberFormat="1"/>
    <xf numFmtId="175" fontId="63" fillId="0" borderId="0" xfId="12" applyNumberFormat="1" applyFont="1"/>
    <xf numFmtId="175" fontId="80" fillId="9" borderId="0" xfId="12" applyNumberFormat="1" applyFont="1" applyFill="1" applyAlignment="1">
      <alignment horizontal="center"/>
    </xf>
    <xf numFmtId="0" fontId="81" fillId="0" borderId="0" xfId="12" applyFont="1" applyAlignment="1">
      <alignment horizontal="right"/>
    </xf>
    <xf numFmtId="0" fontId="82" fillId="9" borderId="0" xfId="12" applyFont="1" applyFill="1"/>
    <xf numFmtId="0" fontId="83" fillId="9" borderId="0" xfId="12" applyFont="1" applyFill="1" applyAlignment="1">
      <alignment horizontal="right"/>
    </xf>
    <xf numFmtId="0" fontId="84" fillId="9" borderId="0" xfId="12" applyFont="1" applyFill="1"/>
    <xf numFmtId="0" fontId="83" fillId="0" borderId="0" xfId="12" applyFont="1" applyAlignment="1">
      <alignment horizontal="right"/>
    </xf>
    <xf numFmtId="0" fontId="84" fillId="0" borderId="0" xfId="12" applyFont="1"/>
    <xf numFmtId="0" fontId="83" fillId="0" borderId="0" xfId="12" applyFont="1"/>
    <xf numFmtId="3" fontId="83" fillId="0" borderId="0" xfId="12" applyNumberFormat="1" applyFont="1"/>
    <xf numFmtId="3" fontId="83" fillId="0" borderId="0" xfId="12" applyNumberFormat="1" applyFont="1" applyAlignment="1">
      <alignment horizontal="right"/>
    </xf>
    <xf numFmtId="0" fontId="85" fillId="0" borderId="0" xfId="12" applyFont="1"/>
    <xf numFmtId="3" fontId="85" fillId="9" borderId="0" xfId="12" applyNumberFormat="1" applyFont="1" applyFill="1" applyAlignment="1">
      <alignment horizontal="right"/>
    </xf>
    <xf numFmtId="175" fontId="84" fillId="0" borderId="0" xfId="12" applyNumberFormat="1" applyFont="1"/>
    <xf numFmtId="3" fontId="86" fillId="0" borderId="0" xfId="12" applyNumberFormat="1" applyFont="1" applyAlignment="1">
      <alignment horizontal="center"/>
    </xf>
    <xf numFmtId="3" fontId="85" fillId="0" borderId="0" xfId="12" applyNumberFormat="1" applyFont="1" applyAlignment="1">
      <alignment horizontal="right"/>
    </xf>
    <xf numFmtId="3" fontId="84" fillId="0" borderId="0" xfId="12" applyNumberFormat="1" applyFont="1"/>
    <xf numFmtId="0" fontId="40" fillId="0" borderId="0" xfId="0" applyFont="1" applyAlignment="1">
      <alignment horizontal="justify" vertical="center"/>
    </xf>
    <xf numFmtId="14" fontId="8" fillId="0" borderId="0" xfId="0" applyNumberFormat="1" applyFont="1"/>
    <xf numFmtId="41" fontId="14" fillId="0" borderId="0" xfId="5" applyFont="1" applyBorder="1" applyAlignment="1">
      <alignment horizontal="right"/>
    </xf>
    <xf numFmtId="0" fontId="38" fillId="12" borderId="1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center" vertical="center"/>
    </xf>
    <xf numFmtId="173" fontId="24" fillId="12" borderId="1" xfId="4" applyNumberFormat="1" applyFont="1" applyFill="1" applyBorder="1" applyAlignment="1">
      <alignment horizontal="center" vertical="center"/>
    </xf>
    <xf numFmtId="41" fontId="20" fillId="0" borderId="4" xfId="5" applyFont="1" applyBorder="1" applyAlignment="1">
      <alignment vertical="center"/>
    </xf>
    <xf numFmtId="41" fontId="20" fillId="0" borderId="3" xfId="5" applyFont="1" applyBorder="1"/>
    <xf numFmtId="41" fontId="20" fillId="0" borderId="3" xfId="5" applyFont="1" applyFill="1" applyBorder="1" applyAlignment="1">
      <alignment horizontal="right" vertical="center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41" fontId="20" fillId="0" borderId="13" xfId="5" applyFont="1" applyFill="1" applyBorder="1" applyAlignment="1">
      <alignment horizontal="right" vertical="center"/>
    </xf>
    <xf numFmtId="41" fontId="20" fillId="0" borderId="11" xfId="5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wrapText="1"/>
    </xf>
    <xf numFmtId="0" fontId="91" fillId="0" borderId="1" xfId="0" applyFont="1" applyBorder="1"/>
    <xf numFmtId="41" fontId="91" fillId="0" borderId="1" xfId="5" applyFont="1" applyBorder="1" applyAlignment="1"/>
    <xf numFmtId="14" fontId="7" fillId="0" borderId="1" xfId="0" applyNumberFormat="1" applyFont="1" applyBorder="1" applyAlignment="1">
      <alignment horizontal="center" wrapText="1"/>
    </xf>
    <xf numFmtId="41" fontId="37" fillId="0" borderId="0" xfId="5" applyFont="1"/>
    <xf numFmtId="173" fontId="37" fillId="0" borderId="0" xfId="0" applyNumberFormat="1" applyFont="1"/>
    <xf numFmtId="0" fontId="37" fillId="0" borderId="0" xfId="0" applyFont="1"/>
    <xf numFmtId="173" fontId="37" fillId="0" borderId="0" xfId="4" applyNumberFormat="1" applyFont="1"/>
    <xf numFmtId="173" fontId="37" fillId="0" borderId="0" xfId="4" applyNumberFormat="1" applyFont="1" applyFill="1" applyBorder="1"/>
    <xf numFmtId="41" fontId="7" fillId="0" borderId="68" xfId="5" applyFont="1" applyFill="1" applyBorder="1" applyAlignment="1">
      <alignment horizontal="right"/>
    </xf>
    <xf numFmtId="41" fontId="7" fillId="0" borderId="71" xfId="5" applyFont="1" applyFill="1" applyBorder="1" applyAlignment="1">
      <alignment horizontal="right"/>
    </xf>
    <xf numFmtId="0" fontId="5" fillId="0" borderId="0" xfId="3" applyAlignment="1">
      <alignment horizontal="left" vertical="center" wrapText="1"/>
    </xf>
    <xf numFmtId="41" fontId="0" fillId="0" borderId="0" xfId="5" applyFont="1" applyFill="1" applyBorder="1"/>
    <xf numFmtId="41" fontId="49" fillId="0" borderId="0" xfId="5" applyFont="1" applyFill="1" applyBorder="1"/>
    <xf numFmtId="173" fontId="19" fillId="0" borderId="29" xfId="4" applyNumberFormat="1" applyFont="1" applyFill="1" applyBorder="1" applyAlignment="1">
      <alignment horizontal="right"/>
    </xf>
    <xf numFmtId="41" fontId="19" fillId="0" borderId="58" xfId="5" applyFont="1" applyBorder="1" applyAlignment="1">
      <alignment horizontal="right"/>
    </xf>
    <xf numFmtId="41" fontId="19" fillId="0" borderId="62" xfId="5" applyFont="1" applyBorder="1" applyAlignment="1">
      <alignment horizontal="right"/>
    </xf>
    <xf numFmtId="41" fontId="50" fillId="0" borderId="0" xfId="24" applyNumberFormat="1" applyFont="1" applyAlignment="1">
      <alignment horizontal="center"/>
    </xf>
    <xf numFmtId="0" fontId="93" fillId="13" borderId="0" xfId="0" applyFont="1" applyFill="1"/>
    <xf numFmtId="41" fontId="93" fillId="13" borderId="0" xfId="5" applyFont="1" applyFill="1"/>
    <xf numFmtId="41" fontId="49" fillId="0" borderId="0" xfId="5" applyFont="1"/>
    <xf numFmtId="0" fontId="94" fillId="0" borderId="0" xfId="0" applyFont="1"/>
    <xf numFmtId="41" fontId="94" fillId="0" borderId="0" xfId="5" applyFont="1"/>
    <xf numFmtId="0" fontId="92" fillId="0" borderId="0" xfId="0" applyFont="1"/>
    <xf numFmtId="41" fontId="92" fillId="0" borderId="0" xfId="5" applyFont="1"/>
    <xf numFmtId="0" fontId="95" fillId="0" borderId="0" xfId="0" applyFont="1"/>
    <xf numFmtId="41" fontId="95" fillId="0" borderId="0" xfId="5" applyFont="1"/>
    <xf numFmtId="0" fontId="96" fillId="0" borderId="0" xfId="0" applyFont="1"/>
    <xf numFmtId="41" fontId="96" fillId="0" borderId="0" xfId="5" applyFont="1"/>
    <xf numFmtId="14" fontId="17" fillId="0" borderId="33" xfId="0" applyNumberFormat="1" applyFont="1" applyBorder="1"/>
    <xf numFmtId="172" fontId="7" fillId="0" borderId="1" xfId="5" applyNumberFormat="1" applyFont="1" applyBorder="1"/>
    <xf numFmtId="0" fontId="98" fillId="0" borderId="0" xfId="0" applyFont="1"/>
    <xf numFmtId="41" fontId="2" fillId="0" borderId="0" xfId="5" applyFont="1" applyFill="1" applyBorder="1"/>
    <xf numFmtId="173" fontId="57" fillId="0" borderId="29" xfId="4" applyNumberFormat="1" applyFont="1" applyFill="1" applyBorder="1" applyAlignment="1"/>
    <xf numFmtId="0" fontId="99" fillId="0" borderId="0" xfId="0" applyFont="1"/>
    <xf numFmtId="41" fontId="99" fillId="0" borderId="0" xfId="5" applyFont="1" applyFill="1" applyBorder="1"/>
    <xf numFmtId="0" fontId="57" fillId="0" borderId="0" xfId="0" applyFont="1"/>
    <xf numFmtId="0" fontId="100" fillId="0" borderId="0" xfId="0" applyFont="1"/>
    <xf numFmtId="41" fontId="100" fillId="0" borderId="0" xfId="5" applyFont="1" applyFill="1" applyBorder="1"/>
    <xf numFmtId="0" fontId="58" fillId="0" borderId="0" xfId="0" applyFont="1"/>
    <xf numFmtId="0" fontId="101" fillId="0" borderId="0" xfId="0" applyFont="1"/>
    <xf numFmtId="41" fontId="101" fillId="0" borderId="0" xfId="5" applyFont="1"/>
    <xf numFmtId="41" fontId="101" fillId="0" borderId="0" xfId="24" applyNumberFormat="1" applyFont="1" applyAlignment="1">
      <alignment horizontal="center"/>
    </xf>
    <xf numFmtId="41" fontId="7" fillId="0" borderId="1" xfId="5" applyFont="1" applyBorder="1"/>
    <xf numFmtId="41" fontId="102" fillId="0" borderId="0" xfId="5" applyFont="1" applyAlignment="1">
      <alignment horizontal="center"/>
    </xf>
    <xf numFmtId="172" fontId="102" fillId="0" borderId="0" xfId="5" applyNumberFormat="1" applyFont="1" applyAlignment="1">
      <alignment horizontal="right"/>
    </xf>
    <xf numFmtId="41" fontId="102" fillId="0" borderId="0" xfId="5" applyFont="1" applyBorder="1" applyAlignment="1">
      <alignment horizontal="right"/>
    </xf>
    <xf numFmtId="0" fontId="38" fillId="14" borderId="1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center" vertical="center"/>
    </xf>
    <xf numFmtId="173" fontId="24" fillId="14" borderId="1" xfId="4" applyNumberFormat="1" applyFont="1" applyFill="1" applyBorder="1" applyAlignment="1">
      <alignment horizontal="center" vertical="center"/>
    </xf>
    <xf numFmtId="14" fontId="7" fillId="0" borderId="66" xfId="0" applyNumberFormat="1" applyFont="1" applyBorder="1"/>
    <xf numFmtId="14" fontId="7" fillId="0" borderId="70" xfId="0" applyNumberFormat="1" applyFont="1" applyBorder="1"/>
    <xf numFmtId="14" fontId="7" fillId="0" borderId="1" xfId="0" applyNumberFormat="1" applyFont="1" applyBorder="1" applyAlignment="1">
      <alignment horizontal="center" vertical="center" wrapText="1"/>
    </xf>
    <xf numFmtId="41" fontId="91" fillId="0" borderId="1" xfId="5" applyFont="1" applyFill="1" applyBorder="1" applyAlignment="1">
      <alignment horizontal="center"/>
    </xf>
    <xf numFmtId="41" fontId="103" fillId="0" borderId="1" xfId="5" applyFont="1" applyFill="1" applyBorder="1" applyAlignment="1">
      <alignment horizontal="center"/>
    </xf>
    <xf numFmtId="0" fontId="103" fillId="0" borderId="0" xfId="0" applyFont="1"/>
    <xf numFmtId="49" fontId="103" fillId="0" borderId="1" xfId="0" applyNumberFormat="1" applyFont="1" applyBorder="1"/>
    <xf numFmtId="41" fontId="104" fillId="0" borderId="1" xfId="5" applyFont="1" applyFill="1" applyBorder="1" applyAlignment="1">
      <alignment horizontal="center"/>
    </xf>
    <xf numFmtId="0" fontId="104" fillId="0" borderId="0" xfId="0" applyFont="1"/>
    <xf numFmtId="170" fontId="104" fillId="0" borderId="1" xfId="5" applyNumberFormat="1" applyFont="1" applyFill="1" applyBorder="1" applyAlignment="1">
      <alignment horizontal="center"/>
    </xf>
    <xf numFmtId="0" fontId="103" fillId="0" borderId="1" xfId="0" applyFont="1" applyBorder="1"/>
    <xf numFmtId="0" fontId="105" fillId="0" borderId="0" xfId="0" applyFont="1" applyAlignment="1">
      <alignment horizontal="center"/>
    </xf>
    <xf numFmtId="0" fontId="106" fillId="0" borderId="0" xfId="3" applyFont="1" applyFill="1"/>
    <xf numFmtId="0" fontId="105" fillId="0" borderId="3" xfId="0" applyFont="1" applyBorder="1" applyAlignment="1">
      <alignment horizontal="center"/>
    </xf>
    <xf numFmtId="41" fontId="7" fillId="0" borderId="0" xfId="0" applyNumberFormat="1" applyFont="1"/>
    <xf numFmtId="41" fontId="104" fillId="0" borderId="1" xfId="5" applyFont="1" applyFill="1" applyBorder="1"/>
    <xf numFmtId="41" fontId="40" fillId="0" borderId="1" xfId="5" applyFont="1" applyFill="1" applyBorder="1" applyAlignment="1">
      <alignment horizontal="center"/>
    </xf>
    <xf numFmtId="177" fontId="7" fillId="0" borderId="1" xfId="5" applyNumberFormat="1" applyFont="1" applyBorder="1" applyAlignment="1">
      <alignment horizontal="right" vertical="center"/>
    </xf>
    <xf numFmtId="41" fontId="7" fillId="3" borderId="2" xfId="0" applyNumberFormat="1" applyFont="1" applyFill="1" applyBorder="1"/>
    <xf numFmtId="41" fontId="107" fillId="0" borderId="0" xfId="0" applyNumberFormat="1" applyFont="1"/>
    <xf numFmtId="0" fontId="107" fillId="0" borderId="0" xfId="0" applyFont="1"/>
    <xf numFmtId="173" fontId="107" fillId="0" borderId="0" xfId="4" applyNumberFormat="1" applyFont="1"/>
    <xf numFmtId="41" fontId="102" fillId="0" borderId="0" xfId="0" applyNumberFormat="1" applyFont="1"/>
    <xf numFmtId="0" fontId="0" fillId="0" borderId="0" xfId="0" applyAlignment="1">
      <alignment horizontal="center"/>
    </xf>
    <xf numFmtId="14" fontId="60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7" fillId="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7" fillId="6" borderId="51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24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173" fontId="24" fillId="0" borderId="5" xfId="4" applyNumberFormat="1" applyFont="1" applyBorder="1" applyAlignment="1">
      <alignment horizontal="center" vertical="center"/>
    </xf>
    <xf numFmtId="173" fontId="24" fillId="0" borderId="2" xfId="4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1" fontId="7" fillId="0" borderId="1" xfId="5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5" fillId="0" borderId="0" xfId="3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quotePrefix="1" applyFont="1"/>
    <xf numFmtId="0" fontId="14" fillId="0" borderId="0" xfId="0" applyFont="1"/>
  </cellXfs>
  <cellStyles count="34">
    <cellStyle name="Comma [0] 11" xfId="32" xr:uid="{E581B672-B907-41BA-896B-8CE035333FBB}"/>
    <cellStyle name="Énfasis2 2" xfId="1" xr:uid="{00000000-0005-0000-0000-000000000000}"/>
    <cellStyle name="Énfasis4" xfId="25" builtinId="41"/>
    <cellStyle name="Excel Built-in Normal" xfId="2" xr:uid="{00000000-0005-0000-0000-000001000000}"/>
    <cellStyle name="Hipervínculo" xfId="3" builtinId="8"/>
    <cellStyle name="Hipervínculo visitado" xfId="26" builtinId="9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3" xfId="19" xr:uid="{00000000-0005-0000-0000-000007000000}"/>
    <cellStyle name="Millares [0] 2 4" xfId="31" xr:uid="{DBF281ED-3A9F-4BA8-9B9C-B07C90A160AF}"/>
    <cellStyle name="Millares [0] 3" xfId="8" xr:uid="{00000000-0005-0000-0000-000008000000}"/>
    <cellStyle name="Millares [0] 3 2" xfId="23" xr:uid="{00000000-0005-0000-0000-000009000000}"/>
    <cellStyle name="Millares [0] 4" xfId="18" xr:uid="{00000000-0005-0000-0000-00000A000000}"/>
    <cellStyle name="Millares [0] 5" xfId="29" xr:uid="{188A77C5-005B-4614-A009-6340CA13F4A2}"/>
    <cellStyle name="Millares 2" xfId="9" xr:uid="{00000000-0005-0000-0000-00000B000000}"/>
    <cellStyle name="Millares 2 2" xfId="10" xr:uid="{00000000-0005-0000-0000-00000C000000}"/>
    <cellStyle name="Millares 2 2 3" xfId="16" xr:uid="{00000000-0005-0000-0000-00000D000000}"/>
    <cellStyle name="Millares 2 3" xfId="20" xr:uid="{00000000-0005-0000-0000-00000E000000}"/>
    <cellStyle name="Millares 3" xfId="17" xr:uid="{00000000-0005-0000-0000-00000F000000}"/>
    <cellStyle name="Millares 4" xfId="11" xr:uid="{00000000-0005-0000-0000-000010000000}"/>
    <cellStyle name="Millares 4 2" xfId="22" xr:uid="{00000000-0005-0000-0000-000011000000}"/>
    <cellStyle name="Millares 5" xfId="21" xr:uid="{00000000-0005-0000-0000-000012000000}"/>
    <cellStyle name="Millares 6" xfId="33" xr:uid="{C5AC26F4-6670-47BE-92CA-850CAA4B5E12}"/>
    <cellStyle name="Millares 7" xfId="28" xr:uid="{87FFDB17-BEA0-41B4-8EB3-FDC4934E8C85}"/>
    <cellStyle name="Normal" xfId="0" builtinId="0"/>
    <cellStyle name="Normal 2" xfId="12" xr:uid="{00000000-0005-0000-0000-000015000000}"/>
    <cellStyle name="Normal 3" xfId="30" xr:uid="{2E3E0C4C-C453-47BD-8C2F-F6F035B93A84}"/>
    <cellStyle name="Normal 4" xfId="13" xr:uid="{00000000-0005-0000-0000-000016000000}"/>
    <cellStyle name="Normal 5" xfId="27" xr:uid="{6F5CC2AB-CC0A-4F8A-8D6D-75DED97976D3}"/>
    <cellStyle name="Porcentaje" xfId="24" builtinId="5"/>
    <cellStyle name="Porcentaje 2" xfId="14" xr:uid="{00000000-0005-0000-0000-000017000000}"/>
    <cellStyle name="Porcentaje 3" xfId="15" xr:uid="{00000000-0005-0000-0000-000018000000}"/>
  </cellStyles>
  <dxfs count="19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  <alignment horizontal="center" vertical="bottom" textRotation="0" wrapText="0" indent="0" justifyLastLine="0" shrinkToFit="0" readingOrder="0"/>
    </dxf>
    <dxf>
      <font>
        <b val="0"/>
        <i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1773327</xdr:colOff>
      <xdr:row>0</xdr:row>
      <xdr:rowOff>707197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521E2-942D-4F4F-AA12-930AFE6A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07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73327" cy="714817"/>
    <xdr:pic>
      <xdr:nvPicPr>
        <xdr:cNvPr id="2" name="Imagen 1">
          <a:extLst>
            <a:ext uri="{FF2B5EF4-FFF2-40B4-BE49-F238E27FC236}">
              <a16:creationId xmlns:a16="http://schemas.microsoft.com/office/drawing/2014/main" id="{A9CC02F2-F5EF-472D-AAA8-01D5FFB94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1481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301397</xdr:colOff>
      <xdr:row>1</xdr:row>
      <xdr:rowOff>16509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DDA94B-97D9-4D18-994D-3805A055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897" cy="708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12367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15FB250B-3309-4ED0-BECE-210E1B10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0"/>
          <a:ext cx="1712367" cy="72389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0</xdr:rowOff>
    </xdr:from>
    <xdr:to>
      <xdr:col>2</xdr:col>
      <xdr:colOff>1761897</xdr:colOff>
      <xdr:row>1</xdr:row>
      <xdr:rowOff>12920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AE8E6-DE7C-4A8F-838C-1C156009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3" y="0"/>
          <a:ext cx="1761897" cy="708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5E318-3DDE-4603-8452-81D2DB2F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85" y="0"/>
          <a:ext cx="1761897" cy="708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16509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454A2-DC47-4045-8BB0-BEB091EC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750" y="0"/>
          <a:ext cx="1761897" cy="708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1761897</xdr:colOff>
      <xdr:row>1</xdr:row>
      <xdr:rowOff>13183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77BE0D-2CFC-4B45-A30E-48BCDBC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0"/>
          <a:ext cx="1761897" cy="7086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175846</xdr:colOff>
      <xdr:row>0</xdr:row>
      <xdr:rowOff>0</xdr:rowOff>
    </xdr:from>
    <xdr:to>
      <xdr:col>3</xdr:col>
      <xdr:colOff>1761897</xdr:colOff>
      <xdr:row>1</xdr:row>
      <xdr:rowOff>15932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C9967-D54A-4D62-A3C6-649ED4AA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538" y="0"/>
          <a:ext cx="1761897" cy="70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Investor%20SA/Contabilidad/Conformaciones%20de%20Cuentas%20Contables/Conformacion%202019/Segundo%20Semestre%202019/Plantilla%20Exel%20EEFF%20cnv_SET_19.xlsx?17C11E68" TargetMode="External"/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17C11E68/Plantilla%20Exel%20EEFF%20cnv_SET_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Users/ROCIO-INV/Desktop/Informe%201er%20Semestre%2006-2018/Res%20173%20INVESTOR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C:/Users/ROCIO-INV/Desktop/Informe%201er%20Semestre%2006-2018/Res%20173%20INVESTOR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lugo/Denise_/BDT/BDT%202016/BDT%20Cuadro%20Revaluo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18.Trader%20Pro%20SA/Contabilidad/Conformaciones%20de%20Cuentas%20Contables/Controles%20mensuales/CONTROL%2022/Conformacion%20de%20EEFF%20de%20Traders%20Pro%20SA%20al%2031%2003%202022.xlsx?0805CD68" TargetMode="External"/><Relationship Id="rId1" Type="http://schemas.openxmlformats.org/officeDocument/2006/relationships/externalLinkPath" Target="file:///\\0805CD68\Conformacion%20de%20EEFF%20de%20Traders%20Pro%20SA%20al%2031%2003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18.Trader%20Pro%20SA/Contabilidad/Conformaciones%20de%20Cuentas%20Contables/Controles%20mensuales/CONTROL%202022/12.2022.Conformaci&#243;n%20de%20EEFF%20de%20Traders%20Pro.xlsx?FB4FE54D" TargetMode="External"/><Relationship Id="rId1" Type="http://schemas.openxmlformats.org/officeDocument/2006/relationships/externalLinkPath" Target="file:///\\FB4FE54D\12.2022.Conformaci&#243;n%20de%20EEFF%20de%20Traders%20Pro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10.Investor%20SA/Contabilidad/CNV_EEFF_Informes/2020/EEFF%20a%20presentar/Plantillas%20utilizadas/Copia%20de%202.%20EEFF%20AL%2031.03.20%20FINAL_Plantilla.xlsx?DD05067B" TargetMode="External"/><Relationship Id="rId1" Type="http://schemas.openxmlformats.org/officeDocument/2006/relationships/externalLinkPath" Target="file:///\\DD05067B\Copia%20de%202.%20EEFF%20AL%2031.03.20%20FINAL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Estado de Resultados"/>
      <sheetName val="Flujos de efectivo"/>
      <sheetName val="Estado variacion PN"/>
      <sheetName val="anexos"/>
      <sheetName val="2007 (06)"/>
      <sheetName val="2008"/>
      <sheetName val="1346 2008 "/>
      <sheetName val="1346 2009 "/>
      <sheetName val="1346 2010"/>
      <sheetName val="1346 2011"/>
      <sheetName val="1346 2012"/>
      <sheetName val="1346 2013"/>
      <sheetName val="1346 2014"/>
      <sheetName val="1346 2015"/>
      <sheetName val="1346 2016 P"/>
      <sheetName val="1346 2016 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 Gral 31 03 2022"/>
      <sheetName val="CALCULO DE IMP.RENTA"/>
      <sheetName val="EERR al 31 03 2022"/>
      <sheetName val="Bancos Operaciones"/>
      <sheetName val="Bancos Administración"/>
      <sheetName val="Inventario"/>
      <sheetName val="Repos"/>
      <sheetName val="Clientes"/>
      <sheetName val="IVA Crédito"/>
      <sheetName val="Prestamo a Accionista "/>
      <sheetName val="Accion BVPASA"/>
      <sheetName val="Amortizac Gastos Constituc"/>
      <sheetName val="Equipo de Informatica"/>
      <sheetName val="Prestamos y Amortiz Repos"/>
      <sheetName val="Acreedores por Intermed ML - ME"/>
      <sheetName val="Proveedores"/>
      <sheetName val="Conformación Capital"/>
      <sheetName val="Acta Dir Gtos Const."/>
    </sheetNames>
    <sheetDataSet>
      <sheetData sheetId="0"/>
      <sheetData sheetId="1">
        <row r="80">
          <cell r="B80">
            <v>-9529901</v>
          </cell>
        </row>
      </sheetData>
      <sheetData sheetId="2"/>
      <sheetData sheetId="3"/>
      <sheetData sheetId="4"/>
      <sheetData sheetId="5"/>
      <sheetData sheetId="6">
        <row r="5">
          <cell r="E5">
            <v>10513000000</v>
          </cell>
        </row>
        <row r="15">
          <cell r="E15">
            <v>600000000</v>
          </cell>
        </row>
        <row r="16">
          <cell r="E16">
            <v>900000000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 A PAGAR"/>
      <sheetName val="CALCULO DE IMP.RENTA"/>
      <sheetName val="Balance Gral 2022"/>
      <sheetName val="EERR 2022"/>
      <sheetName val="10.ListadoCuentaBancaria Gs"/>
      <sheetName val="10.ListadoCuentaBancaria $"/>
      <sheetName val="Familiar 458 Cta Propia"/>
      <sheetName val="Familiar $ 921 Cta Propia (2)"/>
      <sheetName val="Familiar 139 Cta Propia"/>
      <sheetName val="NOTA E - INVERSIONES 2022"/>
      <sheetName val="2022-PORTAFOLIO BY PENKA"/>
      <sheetName val="Repos Pendientes"/>
      <sheetName val="Clientes"/>
      <sheetName val="CTAS A COBRAR PR"/>
      <sheetName val="Anticipos a Proveed Local"/>
      <sheetName val="Prestamo a Accionista "/>
      <sheetName val="IVA"/>
      <sheetName val="Amortizac Gastos Constituc"/>
      <sheetName val="ACCION BVA"/>
      <sheetName val="GARANTIA BVA"/>
      <sheetName val="Equipo de Informatica"/>
      <sheetName val="Cuadro de AF 2022"/>
      <sheetName val="Acreedores por Interm Gs"/>
      <sheetName val="Acreedores por Intermed $"/>
      <sheetName val="Estado de Cuenta Proveedores"/>
      <sheetName val="Anticipo de Clientes"/>
      <sheetName val="Tarjetas de Créditos"/>
      <sheetName val="Acta de Asamblea 2022"/>
      <sheetName val="12.2022"/>
    </sheetNames>
    <sheetDataSet>
      <sheetData sheetId="0" refreshError="1"/>
      <sheetData sheetId="1" refreshError="1"/>
      <sheetData sheetId="2">
        <row r="5">
          <cell r="B5">
            <v>396498174</v>
          </cell>
        </row>
        <row r="17">
          <cell r="B17">
            <v>8400633163</v>
          </cell>
        </row>
        <row r="30">
          <cell r="B30">
            <v>16642719</v>
          </cell>
        </row>
        <row r="33">
          <cell r="B33">
            <v>80175613</v>
          </cell>
        </row>
        <row r="38">
          <cell r="B38">
            <v>139920000</v>
          </cell>
        </row>
        <row r="42">
          <cell r="B42">
            <v>998105547</v>
          </cell>
        </row>
        <row r="47">
          <cell r="B47">
            <v>1002000000</v>
          </cell>
        </row>
        <row r="48">
          <cell r="B48">
            <v>638000000</v>
          </cell>
        </row>
        <row r="49">
          <cell r="B49">
            <v>14400291</v>
          </cell>
        </row>
        <row r="52">
          <cell r="B52">
            <v>437950</v>
          </cell>
        </row>
        <row r="55">
          <cell r="B55">
            <v>13232431</v>
          </cell>
          <cell r="C55">
            <v>5276772</v>
          </cell>
        </row>
        <row r="56">
          <cell r="B56">
            <v>-949819</v>
          </cell>
        </row>
        <row r="57">
          <cell r="B57">
            <v>38492921</v>
          </cell>
        </row>
        <row r="59">
          <cell r="B59">
            <v>-38492921</v>
          </cell>
        </row>
        <row r="62">
          <cell r="B62">
            <v>317004338</v>
          </cell>
        </row>
        <row r="68">
          <cell r="B68">
            <v>416085000</v>
          </cell>
        </row>
        <row r="70">
          <cell r="B70">
            <v>6754407535</v>
          </cell>
        </row>
        <row r="72">
          <cell r="B72">
            <v>59164690</v>
          </cell>
        </row>
        <row r="77">
          <cell r="B77">
            <v>6400658</v>
          </cell>
        </row>
        <row r="78">
          <cell r="B78">
            <v>1322204</v>
          </cell>
        </row>
        <row r="80">
          <cell r="B80">
            <v>454881917</v>
          </cell>
        </row>
        <row r="84">
          <cell r="B84">
            <v>3805000000</v>
          </cell>
        </row>
        <row r="89">
          <cell r="B89">
            <v>102000000</v>
          </cell>
        </row>
        <row r="94">
          <cell r="B94">
            <v>-169147450.69999999</v>
          </cell>
        </row>
      </sheetData>
      <sheetData sheetId="3">
        <row r="5">
          <cell r="B5">
            <v>82276870</v>
          </cell>
        </row>
        <row r="11">
          <cell r="B11">
            <v>3822086726</v>
          </cell>
        </row>
        <row r="14">
          <cell r="B14">
            <v>560759516</v>
          </cell>
        </row>
        <row r="22">
          <cell r="B22">
            <v>1096135</v>
          </cell>
        </row>
        <row r="25">
          <cell r="B25">
            <v>380513548</v>
          </cell>
        </row>
        <row r="30">
          <cell r="B30">
            <v>3901319882</v>
          </cell>
        </row>
        <row r="35">
          <cell r="B35">
            <v>59648837</v>
          </cell>
        </row>
        <row r="46">
          <cell r="B46">
            <v>132556999</v>
          </cell>
        </row>
        <row r="73">
          <cell r="B73">
            <v>146034573</v>
          </cell>
        </row>
        <row r="80">
          <cell r="B80">
            <v>-28413172</v>
          </cell>
        </row>
        <row r="81">
          <cell r="B81">
            <v>30948759</v>
          </cell>
        </row>
        <row r="82">
          <cell r="B82">
            <v>20196280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3">
          <cell r="F23">
            <v>1322204</v>
          </cell>
        </row>
      </sheetData>
      <sheetData sheetId="27" refreshError="1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Balance Gral. Resol. 6"/>
      <sheetName val="Estado de Resultado Resol. 6"/>
      <sheetName val="Flujo de Efectivo Resol. Res 6"/>
      <sheetName val="Estado de Variacion PN "/>
      <sheetName val="NOTA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DOCUMENTOS Y CTAS A PAGA"/>
      <sheetName val="NOTAS M-Q ACREEDORES CTO PLAZO"/>
      <sheetName val="NOTA R SALDOS Y TRANSACCIONES "/>
      <sheetName val="NOTA S RESULTADOS CON PERSONAS"/>
      <sheetName val=" NOTA T PATRIMONIO"/>
      <sheetName val="NOTA V INGRESOS OPERATIVOS"/>
      <sheetName val="NOTA W OTROS GASTOS OPERATIVOS"/>
      <sheetName val="NOTA X OTROS INGRESOS Y EGRESOS"/>
      <sheetName val="NOTA Y RESULTADOS FINANCIEROS"/>
      <sheetName val="NOTA Z RESULT EXTRAORD"/>
      <sheetName val="NOTA 6 INFORMACION REFERENTE"/>
      <sheetName val="2018 (2)"/>
    </sheetNames>
    <sheetDataSet>
      <sheetData sheetId="0"/>
      <sheetData sheetId="1">
        <row r="22">
          <cell r="G22">
            <v>0</v>
          </cell>
        </row>
        <row r="23">
          <cell r="G2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7DC6F5-E8D8-456A-AAC7-A8A43933ED8E}" name="Tabla1" displayName="Tabla1" ref="A2:C94" totalsRowShown="0" headerRowDxfId="18" dataDxfId="17">
  <autoFilter ref="A2:C94" xr:uid="{17DDE52E-69A5-4CC2-A04B-0941965302FC}"/>
  <tableColumns count="3">
    <tableColumn id="1" xr3:uid="{B03E6371-CB40-4BB9-8C46-B34C201AF3FF}" name="BALANCE GENERAL " dataDxfId="16">
      <calculatedColumnFormula>+E3</calculatedColumnFormula>
    </tableColumn>
    <tableColumn id="2" xr3:uid="{DDE8B176-8D05-49B9-BD6A-1A20A1D5C6B2}" name="30/09/2022" dataDxfId="15">
      <calculatedColumnFormula>+F3</calculatedColumnFormula>
    </tableColumn>
    <tableColumn id="3" xr3:uid="{55EE8B58-4E33-44ED-9A0D-8614260B627D}" name="Notas" dataDxfId="1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3FCDD6-16F5-4791-A370-123A3594E032}" name="Tabla9" displayName="Tabla9" ref="A97:B102" totalsRowShown="0" headerRowDxfId="13" dataDxfId="12">
  <autoFilter ref="A97:B102" xr:uid="{7EDFAA1B-C751-4AC0-AB8E-AA4E0235A3CB}"/>
  <tableColumns count="2">
    <tableColumn id="1" xr3:uid="{D42E97AA-FF78-4835-B370-59C1B0AA4EAA}" name="RESUMEN" dataDxfId="11"/>
    <tableColumn id="2" xr3:uid="{7E06575A-EBDE-4DF6-B5BB-C4B0F08AAB81}" name="+Tabla1[[#Encabezados];[+Datos!B3]]" dataDxfId="10" dataCellStyle="Millares [0]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93DA3A-AEA5-4B59-B2FE-9F0F758A86D0}" name="Tabla15" displayName="Tabla15" ref="G17:I20" totalsRowShown="0" headerRowDxfId="9" dataDxfId="8">
  <autoFilter ref="G17:I20" xr:uid="{F5CD79E1-2C01-4314-8773-B6E3F1ED7C65}"/>
  <tableColumns count="3">
    <tableColumn id="1" xr3:uid="{DC2D4AB5-F70F-4066-9698-B2B806D17EDF}" name="Según Contab" dataDxfId="7"/>
    <tableColumn id="2" xr3:uid="{EC14043C-AA64-4BF8-ADEA-45A3212059A5}" name="Según TP" dataDxfId="6"/>
    <tableColumn id="3" xr3:uid="{54786CAB-B168-46E1-8F03-60C8AAE43722}" name="Diferencia" dataDxfId="5">
      <calculatedColumnFormula>+G18-H18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ECD746-8EEA-44C1-9E22-9703C96CBF6B}" name="Tabla2" displayName="Tabla2" ref="A2:D85" totalsRowShown="0" dataDxfId="4">
  <autoFilter ref="A2:D85" xr:uid="{207BA5BA-2222-49EC-A6EF-5D88F7A62D2A}"/>
  <tableColumns count="4">
    <tableColumn id="1" xr3:uid="{8AC0A366-1CE9-4C03-B299-30D5BEDB2F62}" name="ESTADOS DE RESULTADOS AL " dataDxfId="3">
      <calculatedColumnFormula>+F3</calculatedColumnFormula>
    </tableColumn>
    <tableColumn id="2" xr3:uid="{76854CC2-F17A-44FC-A70F-C48326927F93}" name="31/3/2022" dataDxfId="2">
      <calculatedColumnFormula>+G3</calculatedColumnFormula>
    </tableColumn>
    <tableColumn id="3" xr3:uid="{5E698702-4354-4E55-83AD-1952DBAFB682}" name="%" dataDxfId="1" dataCellStyle="Porcentaje">
      <calculatedColumnFormula>+Tabla2[[#This Row],[31/3/2022]]/$B$3</calculatedColumnFormula>
    </tableColumn>
    <tableColumn id="4" xr3:uid="{6D20FF1F-FC51-4142-89BE-BDFC3993482A}" name="OBSERVACIONE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raderspro.com.py/" TargetMode="External"/><Relationship Id="rId1" Type="http://schemas.openxmlformats.org/officeDocument/2006/relationships/hyperlink" Target="mailto:directorio@traderspro.com.py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F059-E89C-4F08-8A57-D3766289A187}">
  <sheetPr>
    <tabColor theme="7" tint="0.59999389629810485"/>
    <pageSetUpPr fitToPage="1"/>
  </sheetPr>
  <dimension ref="A1:I102"/>
  <sheetViews>
    <sheetView zoomScale="120" zoomScaleNormal="120" workbookViewId="0">
      <pane ySplit="2" topLeftCell="A38" activePane="bottomLeft" state="frozen"/>
      <selection activeCell="G96" sqref="G96"/>
      <selection pane="bottomLeft" activeCell="A36" sqref="A36"/>
    </sheetView>
  </sheetViews>
  <sheetFormatPr baseColWidth="10" defaultColWidth="8.85546875" defaultRowHeight="15"/>
  <cols>
    <col min="1" max="1" width="65.85546875" style="409" customWidth="1"/>
    <col min="2" max="2" width="25.7109375" style="410" customWidth="1"/>
    <col min="3" max="3" width="36.28515625" customWidth="1"/>
    <col min="5" max="5" width="58.28515625" bestFit="1" customWidth="1"/>
    <col min="6" max="6" width="15.140625" style="411" bestFit="1" customWidth="1"/>
    <col min="7" max="7" width="15.7109375" customWidth="1"/>
    <col min="8" max="8" width="14.42578125" bestFit="1" customWidth="1"/>
    <col min="9" max="9" width="15.28515625" bestFit="1" customWidth="1"/>
  </cols>
  <sheetData>
    <row r="1" spans="1:9" ht="60.75" customHeight="1"/>
    <row r="2" spans="1:9" s="415" customFormat="1">
      <c r="A2" s="412" t="s">
        <v>0</v>
      </c>
      <c r="B2" s="413" t="s">
        <v>1</v>
      </c>
      <c r="C2" s="414" t="s">
        <v>2</v>
      </c>
      <c r="E2" s="627" t="s">
        <v>3</v>
      </c>
      <c r="F2" s="628" t="s">
        <v>4</v>
      </c>
    </row>
    <row r="3" spans="1:9">
      <c r="A3" t="str">
        <f>+E3</f>
        <v>Activo</v>
      </c>
      <c r="B3" s="418">
        <f>+F3</f>
        <v>11737588990</v>
      </c>
      <c r="C3" s="409"/>
      <c r="E3" s="415" t="s">
        <v>5</v>
      </c>
      <c r="F3" s="629">
        <v>11737588990</v>
      </c>
      <c r="G3" s="461">
        <f>+Tabla1[[#This Row],[30/09/2022]]-F3</f>
        <v>0</v>
      </c>
    </row>
    <row r="4" spans="1:9">
      <c r="A4" t="str">
        <f t="shared" ref="A4:B67" si="0">+E4</f>
        <v>Activo Corriente</v>
      </c>
      <c r="B4" s="418">
        <f t="shared" si="0"/>
        <v>10031975216</v>
      </c>
      <c r="C4" s="409"/>
      <c r="E4" s="415" t="s">
        <v>6</v>
      </c>
      <c r="F4" s="629">
        <v>10031975216</v>
      </c>
    </row>
    <row r="5" spans="1:9">
      <c r="A5" t="str">
        <f t="shared" si="0"/>
        <v>Disponibilidades</v>
      </c>
      <c r="B5" s="418">
        <f t="shared" si="0"/>
        <v>396498174</v>
      </c>
      <c r="C5" s="409"/>
      <c r="E5" s="415" t="s">
        <v>7</v>
      </c>
      <c r="F5" s="629">
        <v>396498174</v>
      </c>
    </row>
    <row r="6" spans="1:9">
      <c r="A6" s="409" t="str">
        <f t="shared" si="0"/>
        <v>Bancos De Operaciones</v>
      </c>
      <c r="B6" s="410">
        <f t="shared" si="0"/>
        <v>323106777</v>
      </c>
      <c r="C6" s="409"/>
      <c r="E6" s="630" t="s">
        <v>8</v>
      </c>
      <c r="F6" s="631">
        <v>323106777</v>
      </c>
      <c r="G6" s="461"/>
    </row>
    <row r="7" spans="1:9">
      <c r="A7" s="409" t="str">
        <f t="shared" si="0"/>
        <v>Bancos Operaciones - Moneda Extranjera</v>
      </c>
      <c r="B7" s="410">
        <f t="shared" si="0"/>
        <v>279665652</v>
      </c>
      <c r="C7" s="409"/>
      <c r="E7" t="s">
        <v>9</v>
      </c>
      <c r="F7" s="411">
        <v>279665652</v>
      </c>
    </row>
    <row r="8" spans="1:9">
      <c r="A8" s="409" t="str">
        <f t="shared" si="0"/>
        <v>Banco Operaciones M/E</v>
      </c>
      <c r="B8" s="410">
        <f t="shared" si="0"/>
        <v>279665652</v>
      </c>
      <c r="C8" s="462" t="s">
        <v>10</v>
      </c>
      <c r="E8" t="s">
        <v>11</v>
      </c>
      <c r="F8" s="411">
        <v>279665652</v>
      </c>
    </row>
    <row r="9" spans="1:9">
      <c r="A9" s="409" t="str">
        <f t="shared" si="0"/>
        <v>Bancos Operaciones - Moneda Local</v>
      </c>
      <c r="B9" s="410">
        <f t="shared" si="0"/>
        <v>43441126</v>
      </c>
      <c r="C9" s="409"/>
      <c r="E9" t="s">
        <v>12</v>
      </c>
      <c r="F9" s="411">
        <v>43441126</v>
      </c>
    </row>
    <row r="10" spans="1:9">
      <c r="A10" s="409" t="str">
        <f t="shared" si="0"/>
        <v>Banco Operaciones M/L</v>
      </c>
      <c r="B10" s="410">
        <f t="shared" si="0"/>
        <v>43441126</v>
      </c>
      <c r="C10" s="409"/>
      <c r="E10" t="s">
        <v>13</v>
      </c>
      <c r="F10" s="411">
        <v>43441126</v>
      </c>
    </row>
    <row r="11" spans="1:9">
      <c r="A11" s="409" t="str">
        <f t="shared" si="0"/>
        <v>Bancos Administrativas</v>
      </c>
      <c r="B11" s="410">
        <f t="shared" si="0"/>
        <v>73391397</v>
      </c>
      <c r="C11" s="462" t="s">
        <v>14</v>
      </c>
      <c r="E11" s="415" t="s">
        <v>15</v>
      </c>
      <c r="F11" s="629">
        <v>73391397</v>
      </c>
    </row>
    <row r="12" spans="1:9">
      <c r="A12" s="409" t="str">
        <f t="shared" si="0"/>
        <v>Bancos Moneda Extranjera</v>
      </c>
      <c r="B12" s="410">
        <f t="shared" si="0"/>
        <v>10984716</v>
      </c>
      <c r="C12" s="409"/>
      <c r="E12" s="630" t="s">
        <v>16</v>
      </c>
      <c r="F12" s="631">
        <v>10984716</v>
      </c>
    </row>
    <row r="13" spans="1:9">
      <c r="A13" s="409" t="str">
        <f t="shared" si="0"/>
        <v>Banco Familiar SAECA - M/E</v>
      </c>
      <c r="B13" s="410">
        <f t="shared" si="0"/>
        <v>10984716</v>
      </c>
      <c r="C13" s="409"/>
      <c r="E13" t="s">
        <v>17</v>
      </c>
      <c r="F13" s="411">
        <v>10984716</v>
      </c>
    </row>
    <row r="14" spans="1:9">
      <c r="A14" s="409" t="str">
        <f t="shared" si="0"/>
        <v>Bancos Moneda Local</v>
      </c>
      <c r="B14" s="410">
        <f t="shared" si="0"/>
        <v>62406681</v>
      </c>
      <c r="C14" s="409"/>
      <c r="E14" s="630" t="s">
        <v>18</v>
      </c>
      <c r="F14" s="631">
        <v>62406681</v>
      </c>
    </row>
    <row r="15" spans="1:9">
      <c r="A15" s="409" t="str">
        <f t="shared" si="0"/>
        <v>Banco Familiar Cta. Cte. 00-2906458 M/L</v>
      </c>
      <c r="B15" s="410">
        <f t="shared" si="0"/>
        <v>2369784</v>
      </c>
      <c r="C15" s="409"/>
      <c r="E15" t="s">
        <v>19</v>
      </c>
      <c r="F15" s="411">
        <v>2369784</v>
      </c>
    </row>
    <row r="16" spans="1:9">
      <c r="A16" s="409" t="str">
        <f t="shared" si="0"/>
        <v>Banco Familiar SAECA  -Caja De Ahorro - 0-2986139 M/L</v>
      </c>
      <c r="B16" s="410">
        <f t="shared" si="0"/>
        <v>60036897</v>
      </c>
      <c r="C16" s="409"/>
      <c r="E16" t="s">
        <v>20</v>
      </c>
      <c r="F16" s="411">
        <v>60036897</v>
      </c>
      <c r="G16" s="682" t="s">
        <v>21</v>
      </c>
      <c r="H16" s="682"/>
      <c r="I16" s="682"/>
    </row>
    <row r="17" spans="1:9">
      <c r="A17" s="409" t="str">
        <f t="shared" si="0"/>
        <v>Inversiones Temporarias</v>
      </c>
      <c r="B17" s="410">
        <f t="shared" si="0"/>
        <v>8400633163</v>
      </c>
      <c r="C17" s="409"/>
      <c r="E17" s="415" t="s">
        <v>22</v>
      </c>
      <c r="F17" s="629">
        <v>8400633163</v>
      </c>
      <c r="G17" t="s">
        <v>23</v>
      </c>
      <c r="H17" t="s">
        <v>24</v>
      </c>
      <c r="I17" t="s">
        <v>25</v>
      </c>
    </row>
    <row r="18" spans="1:9" ht="17.25">
      <c r="A18" s="409" t="str">
        <f t="shared" si="0"/>
        <v>Inversiones Financieras Temporales -Moneda Local</v>
      </c>
      <c r="B18" s="410">
        <f t="shared" si="0"/>
        <v>894000000</v>
      </c>
      <c r="C18" s="409"/>
      <c r="E18" s="415" t="s">
        <v>26</v>
      </c>
      <c r="F18" s="629">
        <v>894000000</v>
      </c>
      <c r="G18" s="416">
        <f>SUM(G19:G20)</f>
        <v>9162017338</v>
      </c>
      <c r="H18" s="416">
        <f>SUM(H19:H20)</f>
        <v>12013000000</v>
      </c>
      <c r="I18" s="416">
        <f t="shared" ref="I18" si="1">SUM(I19:I20)</f>
        <v>-2850982662</v>
      </c>
    </row>
    <row r="19" spans="1:9">
      <c r="A19" s="409" t="str">
        <f t="shared" si="0"/>
        <v>Títulos Representativos De Deuda -M/L</v>
      </c>
      <c r="B19" s="410">
        <f t="shared" si="0"/>
        <v>894000000</v>
      </c>
      <c r="C19" s="417" t="s">
        <v>27</v>
      </c>
      <c r="E19" t="s">
        <v>28</v>
      </c>
      <c r="F19" s="411">
        <v>894000000</v>
      </c>
      <c r="G19" s="461">
        <f>+B21+B24</f>
        <v>7507179097</v>
      </c>
      <c r="H19" s="418">
        <f>+[6]Inventario!E5+[6]Inventario!E15</f>
        <v>11113000000</v>
      </c>
      <c r="I19" s="461">
        <f>+G19-H19</f>
        <v>-3605820903</v>
      </c>
    </row>
    <row r="20" spans="1:9">
      <c r="A20" s="409" t="str">
        <f t="shared" si="0"/>
        <v>Bonos M/L</v>
      </c>
      <c r="B20" s="410">
        <f t="shared" si="0"/>
        <v>894000000</v>
      </c>
      <c r="C20" s="409"/>
      <c r="E20" s="632" t="s">
        <v>29</v>
      </c>
      <c r="F20" s="633">
        <v>894000000</v>
      </c>
      <c r="G20" s="461">
        <f>+B45</f>
        <v>1654838241</v>
      </c>
      <c r="H20" s="418">
        <f>+[6]Inventario!E16</f>
        <v>900000000</v>
      </c>
      <c r="I20" s="461">
        <f>+G20-H20</f>
        <v>754838241</v>
      </c>
    </row>
    <row r="21" spans="1:9">
      <c r="A21" s="409" t="str">
        <f t="shared" si="0"/>
        <v>Otras Inversiones a Corto Plazo</v>
      </c>
      <c r="B21" s="410">
        <f t="shared" si="0"/>
        <v>7500000000</v>
      </c>
      <c r="C21" s="409"/>
      <c r="E21" s="634" t="s">
        <v>30</v>
      </c>
      <c r="F21" s="635">
        <v>7500000000</v>
      </c>
      <c r="H21" s="418"/>
    </row>
    <row r="22" spans="1:9">
      <c r="A22" s="409" t="str">
        <f t="shared" si="0"/>
        <v xml:space="preserve">Instrumentos Financieros Cedidos En Prestamos M/L - </v>
      </c>
      <c r="B22" s="410">
        <f t="shared" si="0"/>
        <v>7500000000</v>
      </c>
      <c r="C22" s="409"/>
      <c r="E22" s="415" t="s">
        <v>31</v>
      </c>
      <c r="F22" s="629">
        <v>7500000000</v>
      </c>
      <c r="H22" s="418"/>
    </row>
    <row r="23" spans="1:9">
      <c r="A23" s="409" t="str">
        <f t="shared" si="0"/>
        <v>Ajuste por Valuación de Inversiones Temporales</v>
      </c>
      <c r="B23" s="410">
        <f t="shared" si="0"/>
        <v>1983763</v>
      </c>
      <c r="C23" s="180"/>
      <c r="E23" t="s">
        <v>32</v>
      </c>
      <c r="F23" s="418">
        <v>1983763</v>
      </c>
      <c r="H23" s="418"/>
    </row>
    <row r="24" spans="1:9">
      <c r="A24" s="409" t="str">
        <f t="shared" si="0"/>
        <v>(+) Ajuste por Valor de Compra Inversiones Temporales M/L</v>
      </c>
      <c r="B24" s="410">
        <f t="shared" si="0"/>
        <v>7179097</v>
      </c>
      <c r="C24" s="409"/>
      <c r="E24" t="s">
        <v>33</v>
      </c>
      <c r="F24" s="418">
        <v>7179097</v>
      </c>
      <c r="H24" s="418"/>
    </row>
    <row r="25" spans="1:9">
      <c r="A25" s="409" t="str">
        <f t="shared" si="0"/>
        <v>(-) Ajuste por Desvalorización Inversiones Temporales M/L</v>
      </c>
      <c r="B25" s="410">
        <f t="shared" si="0"/>
        <v>-5195334</v>
      </c>
      <c r="C25" s="462" t="s">
        <v>34</v>
      </c>
      <c r="E25" s="415" t="s">
        <v>35</v>
      </c>
      <c r="F25" s="629">
        <v>-5195334</v>
      </c>
      <c r="G25" s="461"/>
      <c r="H25" s="418"/>
    </row>
    <row r="26" spans="1:9">
      <c r="A26" s="409" t="str">
        <f t="shared" si="0"/>
        <v>Intereses, Regalías Y Otros Rendimientos</v>
      </c>
      <c r="B26" s="410">
        <f t="shared" si="0"/>
        <v>4649400</v>
      </c>
      <c r="C26" s="409"/>
      <c r="E26" t="s">
        <v>36</v>
      </c>
      <c r="F26" s="418">
        <v>4649400</v>
      </c>
      <c r="G26" s="461"/>
      <c r="H26" s="418"/>
    </row>
    <row r="27" spans="1:9">
      <c r="A27" s="409" t="str">
        <f t="shared" si="0"/>
        <v>Intereses y Rendimientos a Cobrar por Instrumentos Financ.M/L</v>
      </c>
      <c r="B27" s="410">
        <f t="shared" si="0"/>
        <v>367061699</v>
      </c>
      <c r="C27" s="409"/>
      <c r="E27" s="415" t="s">
        <v>37</v>
      </c>
      <c r="F27" s="629">
        <v>367061699</v>
      </c>
      <c r="G27" s="461"/>
      <c r="H27" s="418"/>
    </row>
    <row r="28" spans="1:9">
      <c r="A28" s="409" t="str">
        <f t="shared" si="0"/>
        <v>(-) Intereses a Devengar por Instrumentos Financieros M/L</v>
      </c>
      <c r="B28" s="410">
        <f t="shared" si="0"/>
        <v>-362412299</v>
      </c>
      <c r="C28" s="409"/>
      <c r="E28" t="s">
        <v>38</v>
      </c>
      <c r="F28" s="418">
        <v>-362412299</v>
      </c>
      <c r="G28" s="461"/>
      <c r="H28" s="418"/>
    </row>
    <row r="29" spans="1:9">
      <c r="A29" s="409" t="str">
        <f t="shared" si="0"/>
        <v>Créditos</v>
      </c>
      <c r="B29" s="410">
        <f t="shared" si="0"/>
        <v>236738332</v>
      </c>
      <c r="C29" s="409"/>
      <c r="E29" s="415" t="s">
        <v>39</v>
      </c>
      <c r="F29" s="629">
        <v>236738332</v>
      </c>
      <c r="H29" s="418"/>
    </row>
    <row r="30" spans="1:9">
      <c r="A30" s="409" t="str">
        <f t="shared" si="0"/>
        <v>Deudores Por Intermediacion De Valores</v>
      </c>
      <c r="B30" s="410">
        <f t="shared" si="0"/>
        <v>16642719</v>
      </c>
      <c r="C30" s="409"/>
      <c r="E30" s="415" t="s">
        <v>40</v>
      </c>
      <c r="F30" s="629">
        <v>16642719</v>
      </c>
      <c r="H30" s="418"/>
    </row>
    <row r="31" spans="1:9">
      <c r="A31" s="409" t="str">
        <f t="shared" si="0"/>
        <v>Clientes Locales M/L</v>
      </c>
      <c r="B31" s="410">
        <f t="shared" si="0"/>
        <v>9707200</v>
      </c>
      <c r="C31" s="409"/>
      <c r="E31" t="s">
        <v>41</v>
      </c>
      <c r="F31" s="418">
        <v>9707200</v>
      </c>
    </row>
    <row r="32" spans="1:9">
      <c r="A32" s="409" t="str">
        <f t="shared" si="0"/>
        <v>Clientes Locales M/E</v>
      </c>
      <c r="B32" s="410">
        <f t="shared" si="0"/>
        <v>6935519</v>
      </c>
      <c r="C32" s="409"/>
      <c r="E32" s="415" t="s">
        <v>42</v>
      </c>
      <c r="F32" s="629">
        <v>6935519</v>
      </c>
    </row>
    <row r="33" spans="1:8">
      <c r="A33" s="409" t="str">
        <f t="shared" si="0"/>
        <v>Documentos Y Cuentas Cobrar</v>
      </c>
      <c r="B33" s="410">
        <f t="shared" si="0"/>
        <v>80175613</v>
      </c>
      <c r="C33" s="463" t="s">
        <v>43</v>
      </c>
      <c r="E33" s="415" t="s">
        <v>44</v>
      </c>
      <c r="F33" s="629">
        <v>80175613</v>
      </c>
    </row>
    <row r="34" spans="1:8">
      <c r="A34" s="409" t="str">
        <f t="shared" si="0"/>
        <v>Créditos Por Impuestos Corrientes</v>
      </c>
      <c r="B34" s="410">
        <f t="shared" si="0"/>
        <v>65175613</v>
      </c>
      <c r="C34" s="462" t="s">
        <v>45</v>
      </c>
      <c r="E34" s="630" t="s">
        <v>46</v>
      </c>
      <c r="F34" s="631">
        <v>65175613</v>
      </c>
    </row>
    <row r="35" spans="1:8">
      <c r="A35" s="409" t="str">
        <f t="shared" si="0"/>
        <v xml:space="preserve">IVA - Crédito a favor - DDJJ </v>
      </c>
      <c r="B35" s="410">
        <f t="shared" si="0"/>
        <v>65175613</v>
      </c>
      <c r="C35" s="409"/>
      <c r="E35" s="415" t="s">
        <v>47</v>
      </c>
      <c r="F35" s="629">
        <v>65175613</v>
      </c>
      <c r="H35" s="461"/>
    </row>
    <row r="36" spans="1:8">
      <c r="A36" s="409" t="str">
        <f t="shared" si="0"/>
        <v>Anticipo A Proveedores</v>
      </c>
      <c r="B36" s="410">
        <f t="shared" si="0"/>
        <v>15000000</v>
      </c>
      <c r="C36" s="409"/>
      <c r="E36" s="415" t="s">
        <v>48</v>
      </c>
      <c r="F36" s="629">
        <v>15000000</v>
      </c>
    </row>
    <row r="37" spans="1:8">
      <c r="A37" s="409" t="str">
        <f t="shared" si="0"/>
        <v>Anticipos A Proveedores Locales. M/L</v>
      </c>
      <c r="B37" s="410">
        <f t="shared" si="0"/>
        <v>15000000</v>
      </c>
      <c r="C37" s="409"/>
      <c r="E37" t="s">
        <v>49</v>
      </c>
      <c r="F37" s="418">
        <v>15000000</v>
      </c>
    </row>
    <row r="38" spans="1:8">
      <c r="A38" s="409" t="str">
        <f t="shared" si="0"/>
        <v>Cuentas A Cobrar Entidades Relacionadas</v>
      </c>
      <c r="B38" s="410">
        <f t="shared" si="0"/>
        <v>139920000</v>
      </c>
      <c r="C38" s="462" t="s">
        <v>50</v>
      </c>
      <c r="E38" s="415" t="s">
        <v>51</v>
      </c>
      <c r="F38" s="629">
        <v>139920000</v>
      </c>
    </row>
    <row r="39" spans="1:8">
      <c r="A39" s="409" t="str">
        <f t="shared" si="0"/>
        <v>Cuentas A Cobrar a Directores y Accionistas M/L</v>
      </c>
      <c r="B39" s="410">
        <f t="shared" si="0"/>
        <v>23000000</v>
      </c>
      <c r="C39" s="409"/>
      <c r="E39" s="415" t="s">
        <v>52</v>
      </c>
      <c r="F39" s="629">
        <v>23000000</v>
      </c>
    </row>
    <row r="40" spans="1:8">
      <c r="A40" s="409" t="str">
        <f t="shared" si="0"/>
        <v>Intereses a Cobrar a Directores y Accionistas M/L</v>
      </c>
      <c r="B40" s="410">
        <f t="shared" si="0"/>
        <v>5520000</v>
      </c>
      <c r="C40" s="409"/>
      <c r="E40" t="s">
        <v>53</v>
      </c>
      <c r="F40" s="418">
        <v>5520000</v>
      </c>
    </row>
    <row r="41" spans="1:8">
      <c r="A41" s="409" t="str">
        <f t="shared" si="0"/>
        <v>Cuentas a Cobrar a Empresas y Personas Relacionadas M/L</v>
      </c>
      <c r="B41" s="410">
        <f t="shared" si="0"/>
        <v>111400000</v>
      </c>
      <c r="C41" s="409"/>
      <c r="E41" s="415" t="s">
        <v>54</v>
      </c>
      <c r="F41" s="629">
        <v>111400000</v>
      </c>
    </row>
    <row r="42" spans="1:8">
      <c r="A42" s="409" t="str">
        <f t="shared" si="0"/>
        <v>Gastos Pagados Por Adelantado</v>
      </c>
      <c r="B42" s="410">
        <f t="shared" si="0"/>
        <v>998105547</v>
      </c>
      <c r="C42" s="409"/>
      <c r="E42" s="415" t="s">
        <v>55</v>
      </c>
      <c r="F42" s="629">
        <v>998105547</v>
      </c>
    </row>
    <row r="43" spans="1:8">
      <c r="A43" s="409" t="str">
        <f t="shared" si="0"/>
        <v>Intereses a Vencer M/L</v>
      </c>
      <c r="B43" s="410">
        <f t="shared" si="0"/>
        <v>998105547</v>
      </c>
      <c r="C43" s="409"/>
      <c r="E43" s="415" t="s">
        <v>56</v>
      </c>
      <c r="F43" s="629">
        <v>998105547</v>
      </c>
    </row>
    <row r="44" spans="1:8">
      <c r="A44" s="409" t="str">
        <f t="shared" si="0"/>
        <v>Activo No Corriente</v>
      </c>
      <c r="B44" s="410">
        <f t="shared" si="0"/>
        <v>1705613774</v>
      </c>
      <c r="C44" s="409"/>
      <c r="E44" s="415" t="s">
        <v>57</v>
      </c>
      <c r="F44" s="629">
        <v>1705613774</v>
      </c>
    </row>
    <row r="45" spans="1:8">
      <c r="A45" s="409" t="str">
        <f t="shared" si="0"/>
        <v>Inversiones A Largo Plazo</v>
      </c>
      <c r="B45" s="410">
        <f t="shared" si="0"/>
        <v>1654838241</v>
      </c>
      <c r="C45" s="462" t="s">
        <v>58</v>
      </c>
      <c r="E45" s="415" t="s">
        <v>59</v>
      </c>
      <c r="F45" s="629">
        <v>1654838241</v>
      </c>
    </row>
    <row r="46" spans="1:8">
      <c r="A46" s="409" t="str">
        <f t="shared" si="0"/>
        <v>Otras Inversiones Permanentes</v>
      </c>
      <c r="B46" s="410">
        <f t="shared" si="0"/>
        <v>1640000000</v>
      </c>
      <c r="C46" s="409"/>
      <c r="E46" t="s">
        <v>60</v>
      </c>
      <c r="F46" s="418">
        <v>1640000000</v>
      </c>
    </row>
    <row r="47" spans="1:8">
      <c r="A47" s="409" t="str">
        <f t="shared" si="0"/>
        <v>Acción en la BVPASA</v>
      </c>
      <c r="B47" s="410">
        <f t="shared" si="0"/>
        <v>1002000000</v>
      </c>
      <c r="C47" s="462" t="s">
        <v>61</v>
      </c>
      <c r="E47" s="415" t="s">
        <v>62</v>
      </c>
      <c r="F47" s="629">
        <v>1002000000</v>
      </c>
    </row>
    <row r="48" spans="1:8">
      <c r="A48" s="409" t="str">
        <f t="shared" si="0"/>
        <v>Instrumentos Financieros Cedidos en Garantía</v>
      </c>
      <c r="B48" s="410">
        <f t="shared" si="0"/>
        <v>638000000</v>
      </c>
      <c r="C48" s="409"/>
      <c r="E48" s="415" t="s">
        <v>63</v>
      </c>
      <c r="F48" s="629">
        <v>638000000</v>
      </c>
    </row>
    <row r="49" spans="1:6">
      <c r="A49" s="409" t="str">
        <f t="shared" si="0"/>
        <v>Intereses, Regalias y Otros Rendimientos Largo Plazo - Instrumentos Financieros</v>
      </c>
      <c r="B49" s="410">
        <f t="shared" si="0"/>
        <v>14400291</v>
      </c>
      <c r="C49" s="462" t="s">
        <v>64</v>
      </c>
      <c r="E49" s="415" t="s">
        <v>65</v>
      </c>
      <c r="F49" s="629">
        <v>14400291</v>
      </c>
    </row>
    <row r="50" spans="1:6">
      <c r="A50" s="409" t="str">
        <f t="shared" si="0"/>
        <v>Intereses, Regalías Y Otros Rendimientos M/L - Instrumentos Financieros Largo Plazo</v>
      </c>
      <c r="B50" s="410">
        <f t="shared" si="0"/>
        <v>69118145</v>
      </c>
      <c r="C50" s="409"/>
      <c r="E50" s="415" t="s">
        <v>66</v>
      </c>
      <c r="F50" s="629">
        <v>69118145</v>
      </c>
    </row>
    <row r="51" spans="1:6">
      <c r="A51" s="409" t="str">
        <f t="shared" si="0"/>
        <v>(-) Intereses a Devengar por Instrumentos Financieros M/L - Largo Plazo</v>
      </c>
      <c r="B51" s="410">
        <f t="shared" si="0"/>
        <v>-54717854</v>
      </c>
      <c r="C51" s="409"/>
      <c r="E51" s="415" t="s">
        <v>67</v>
      </c>
      <c r="F51" s="629">
        <v>-54717854</v>
      </c>
    </row>
    <row r="52" spans="1:6">
      <c r="A52" s="409" t="str">
        <f t="shared" si="0"/>
        <v>Ajustes  por Valuación De Inversión Permanente</v>
      </c>
      <c r="B52" s="410">
        <f t="shared" si="0"/>
        <v>437950</v>
      </c>
      <c r="C52" s="409"/>
      <c r="E52" s="415" t="s">
        <v>68</v>
      </c>
      <c r="F52" s="629">
        <v>437950</v>
      </c>
    </row>
    <row r="53" spans="1:6">
      <c r="A53" s="409" t="str">
        <f t="shared" si="0"/>
        <v>(+) Ajuste por Valor de Compra Inversiones Permanentes ML</v>
      </c>
      <c r="B53" s="410">
        <f t="shared" si="0"/>
        <v>437950</v>
      </c>
      <c r="C53" s="417" t="s">
        <v>69</v>
      </c>
      <c r="E53" s="415" t="s">
        <v>70</v>
      </c>
      <c r="F53" s="629">
        <v>437950</v>
      </c>
    </row>
    <row r="54" spans="1:6">
      <c r="A54" s="409" t="str">
        <f t="shared" si="0"/>
        <v>Propiedad, Planta Y Equipo</v>
      </c>
      <c r="B54" s="410">
        <f t="shared" si="0"/>
        <v>12282612</v>
      </c>
      <c r="C54" s="409"/>
      <c r="E54" s="415" t="s">
        <v>71</v>
      </c>
      <c r="F54" s="629">
        <v>12282612</v>
      </c>
    </row>
    <row r="55" spans="1:6">
      <c r="A55" s="409" t="str">
        <f t="shared" si="0"/>
        <v>Equipos De Informaticas</v>
      </c>
      <c r="B55" s="410">
        <f t="shared" si="0"/>
        <v>13232431</v>
      </c>
      <c r="C55" s="409"/>
      <c r="E55" s="630" t="s">
        <v>72</v>
      </c>
      <c r="F55" s="631">
        <v>13232431</v>
      </c>
    </row>
    <row r="56" spans="1:6">
      <c r="A56" s="409" t="str">
        <f t="shared" si="0"/>
        <v>(-) Depreciación Acumulada</v>
      </c>
      <c r="B56" s="410">
        <f t="shared" si="0"/>
        <v>-949819</v>
      </c>
      <c r="C56" s="409"/>
      <c r="E56" s="415" t="s">
        <v>73</v>
      </c>
      <c r="F56" s="629">
        <v>-949819</v>
      </c>
    </row>
    <row r="57" spans="1:6">
      <c r="A57" s="409" t="str">
        <f t="shared" si="0"/>
        <v>Cargos Diferidos</v>
      </c>
      <c r="B57" s="410">
        <f t="shared" si="0"/>
        <v>38492921</v>
      </c>
      <c r="C57" s="409"/>
      <c r="E57" s="636" t="s">
        <v>74</v>
      </c>
      <c r="F57" s="637">
        <v>38492921</v>
      </c>
    </row>
    <row r="58" spans="1:6">
      <c r="A58" s="409" t="str">
        <f t="shared" si="0"/>
        <v>Gastos De Constitución</v>
      </c>
      <c r="B58" s="410">
        <f t="shared" si="0"/>
        <v>76985842</v>
      </c>
      <c r="C58" s="409"/>
      <c r="E58" t="s">
        <v>75</v>
      </c>
      <c r="F58" s="418">
        <v>76985842</v>
      </c>
    </row>
    <row r="59" spans="1:6">
      <c r="A59" s="409" t="str">
        <f t="shared" si="0"/>
        <v>(-) Amortización Acumulada</v>
      </c>
      <c r="B59" s="410">
        <f t="shared" si="0"/>
        <v>-38492921</v>
      </c>
      <c r="C59" s="409"/>
      <c r="E59" s="415" t="s">
        <v>76</v>
      </c>
      <c r="F59" s="629">
        <v>-38492921</v>
      </c>
    </row>
    <row r="60" spans="1:6">
      <c r="A60" s="409" t="str">
        <f t="shared" si="0"/>
        <v>Pasivo</v>
      </c>
      <c r="B60" s="410">
        <f t="shared" si="0"/>
        <v>8009266341</v>
      </c>
      <c r="C60" s="409"/>
      <c r="E60" s="415" t="s">
        <v>77</v>
      </c>
      <c r="F60" s="629">
        <v>8009266341</v>
      </c>
    </row>
    <row r="61" spans="1:6">
      <c r="A61" s="409" t="str">
        <f t="shared" si="0"/>
        <v>Pasivo Corriente</v>
      </c>
      <c r="B61" s="410">
        <f t="shared" si="0"/>
        <v>8009266341</v>
      </c>
      <c r="C61" s="409"/>
      <c r="E61" s="415" t="s">
        <v>78</v>
      </c>
      <c r="F61" s="629">
        <v>8009266341</v>
      </c>
    </row>
    <row r="62" spans="1:6">
      <c r="A62" s="409" t="str">
        <f t="shared" si="0"/>
        <v>Acreedores Por Operaciones</v>
      </c>
      <c r="B62" s="410">
        <f t="shared" si="0"/>
        <v>317004338</v>
      </c>
      <c r="C62" s="417" t="s">
        <v>34</v>
      </c>
      <c r="E62" s="415" t="s">
        <v>79</v>
      </c>
      <c r="F62" s="629">
        <v>317004338</v>
      </c>
    </row>
    <row r="63" spans="1:6">
      <c r="A63" s="409" t="str">
        <f t="shared" si="0"/>
        <v>Acreedores Por Operaciones M/L</v>
      </c>
      <c r="B63" s="410">
        <f t="shared" si="0"/>
        <v>37974593</v>
      </c>
      <c r="C63" s="180"/>
      <c r="E63" t="s">
        <v>80</v>
      </c>
      <c r="F63" s="418">
        <v>37974593</v>
      </c>
    </row>
    <row r="64" spans="1:6">
      <c r="A64" s="409" t="str">
        <f t="shared" si="0"/>
        <v>Acreedores Por Intermediacion De Valores M/L</v>
      </c>
      <c r="B64" s="410">
        <f t="shared" si="0"/>
        <v>37974593</v>
      </c>
      <c r="C64" s="409"/>
      <c r="E64" s="415" t="s">
        <v>81</v>
      </c>
      <c r="F64" s="629">
        <v>37974593</v>
      </c>
    </row>
    <row r="65" spans="1:6">
      <c r="A65" s="409" t="str">
        <f t="shared" si="0"/>
        <v>Acreedores Por Operaciones M/E</v>
      </c>
      <c r="B65" s="410">
        <f t="shared" si="0"/>
        <v>279029746</v>
      </c>
      <c r="C65" s="409"/>
      <c r="E65" s="636" t="s">
        <v>82</v>
      </c>
      <c r="F65" s="637">
        <v>279029746</v>
      </c>
    </row>
    <row r="66" spans="1:6">
      <c r="A66" s="409" t="str">
        <f t="shared" si="0"/>
        <v>Acreedores Por Intermediacion De Valores M/E</v>
      </c>
      <c r="B66" s="410">
        <f t="shared" si="0"/>
        <v>279029746</v>
      </c>
      <c r="C66" s="409"/>
      <c r="E66" t="s">
        <v>83</v>
      </c>
      <c r="F66" s="418">
        <v>279029746</v>
      </c>
    </row>
    <row r="67" spans="1:6">
      <c r="A67" s="409" t="str">
        <f t="shared" si="0"/>
        <v>Deudas Financieras</v>
      </c>
      <c r="B67" s="410">
        <f t="shared" si="0"/>
        <v>7170492534</v>
      </c>
      <c r="C67" s="463" t="s">
        <v>84</v>
      </c>
      <c r="E67" s="415" t="s">
        <v>85</v>
      </c>
      <c r="F67" s="629">
        <v>7170492534</v>
      </c>
    </row>
    <row r="68" spans="1:6">
      <c r="A68" s="409" t="str">
        <f t="shared" ref="A68:B82" si="2">+E68</f>
        <v>Intereses A Pagar</v>
      </c>
      <c r="B68" s="410">
        <f t="shared" si="2"/>
        <v>416085000</v>
      </c>
      <c r="C68" s="409"/>
      <c r="E68" s="415" t="s">
        <v>86</v>
      </c>
      <c r="F68" s="629">
        <v>416085000</v>
      </c>
    </row>
    <row r="69" spans="1:6">
      <c r="A69" s="409" t="str">
        <f t="shared" si="2"/>
        <v>Intereses sobre REPOS a Pagar - M/L</v>
      </c>
      <c r="B69" s="410">
        <f t="shared" si="2"/>
        <v>416085000</v>
      </c>
      <c r="C69" s="409"/>
      <c r="E69" t="s">
        <v>87</v>
      </c>
      <c r="F69" s="418">
        <v>416085000</v>
      </c>
    </row>
    <row r="70" spans="1:6">
      <c r="A70" s="409" t="str">
        <f t="shared" si="2"/>
        <v>Otros Prestamos A Pagar - Repos</v>
      </c>
      <c r="B70" s="410">
        <f t="shared" si="2"/>
        <v>6754407535</v>
      </c>
      <c r="C70" s="409"/>
      <c r="E70" s="415" t="s">
        <v>88</v>
      </c>
      <c r="F70" s="629">
        <v>6754407535</v>
      </c>
    </row>
    <row r="71" spans="1:6" s="419" customFormat="1">
      <c r="A71" s="409" t="str">
        <f t="shared" si="2"/>
        <v>Operaciones de Repo - Prestamos Repos M/L</v>
      </c>
      <c r="B71" s="410">
        <f t="shared" si="2"/>
        <v>6754407535</v>
      </c>
      <c r="E71" s="415" t="s">
        <v>89</v>
      </c>
      <c r="F71" s="629">
        <v>6754407535</v>
      </c>
    </row>
    <row r="72" spans="1:6" s="419" customFormat="1">
      <c r="A72" s="409" t="str">
        <f t="shared" si="2"/>
        <v>Otras Cuentas Por Pagar</v>
      </c>
      <c r="B72" s="410">
        <f t="shared" si="2"/>
        <v>59164690</v>
      </c>
      <c r="C72" s="421"/>
      <c r="E72" t="s">
        <v>90</v>
      </c>
      <c r="F72" s="418">
        <v>59164690</v>
      </c>
    </row>
    <row r="73" spans="1:6" s="419" customFormat="1">
      <c r="A73" s="409" t="str">
        <f t="shared" si="2"/>
        <v>Cuentas a Pagar Administración</v>
      </c>
      <c r="B73" s="410">
        <f t="shared" si="2"/>
        <v>59164690</v>
      </c>
      <c r="C73" s="421"/>
      <c r="E73" s="415" t="s">
        <v>91</v>
      </c>
      <c r="F73" s="629">
        <v>59164690</v>
      </c>
    </row>
    <row r="74" spans="1:6" s="419" customFormat="1">
      <c r="A74" s="409" t="str">
        <f t="shared" si="2"/>
        <v>Proveedores Locales M/L</v>
      </c>
      <c r="B74" s="410">
        <f t="shared" si="2"/>
        <v>53689333</v>
      </c>
      <c r="C74" s="421"/>
      <c r="E74" s="415" t="s">
        <v>92</v>
      </c>
      <c r="F74" s="629">
        <v>53689333</v>
      </c>
    </row>
    <row r="75" spans="1:6" s="419" customFormat="1">
      <c r="A75" s="409" t="str">
        <f t="shared" si="2"/>
        <v>Proveedores Locales M/E</v>
      </c>
      <c r="B75" s="410">
        <f t="shared" si="2"/>
        <v>5475357</v>
      </c>
      <c r="C75" s="462" t="s">
        <v>93</v>
      </c>
      <c r="E75" s="415" t="s">
        <v>94</v>
      </c>
      <c r="F75" s="629">
        <v>5475357</v>
      </c>
    </row>
    <row r="76" spans="1:6" s="419" customFormat="1">
      <c r="A76" s="409" t="str">
        <f t="shared" si="2"/>
        <v>Provisiones</v>
      </c>
      <c r="B76" s="410">
        <f t="shared" si="2"/>
        <v>7722862</v>
      </c>
      <c r="C76" s="421"/>
      <c r="E76" t="s">
        <v>95</v>
      </c>
      <c r="F76" s="418">
        <v>7722862</v>
      </c>
    </row>
    <row r="77" spans="1:6" s="419" customFormat="1">
      <c r="A77" s="409" t="str">
        <f t="shared" si="2"/>
        <v>Ips A Pagar</v>
      </c>
      <c r="B77" s="410">
        <f t="shared" si="2"/>
        <v>6400658</v>
      </c>
      <c r="C77" s="421"/>
      <c r="E77" t="s">
        <v>96</v>
      </c>
      <c r="F77" s="418">
        <v>6400658</v>
      </c>
    </row>
    <row r="78" spans="1:6" s="419" customFormat="1">
      <c r="A78" s="409" t="str">
        <f t="shared" si="2"/>
        <v>Tarjeta de Crédito a Pagar</v>
      </c>
      <c r="B78" s="410">
        <f t="shared" si="2"/>
        <v>1322204</v>
      </c>
      <c r="C78" s="421"/>
      <c r="E78" s="415" t="s">
        <v>97</v>
      </c>
      <c r="F78" s="629">
        <v>1322204</v>
      </c>
    </row>
    <row r="79" spans="1:6" s="419" customFormat="1">
      <c r="A79" s="409" t="str">
        <f t="shared" si="2"/>
        <v>Tarjeta de Crédito a Pagar - Familiar</v>
      </c>
      <c r="B79" s="410">
        <f t="shared" si="2"/>
        <v>1322204</v>
      </c>
      <c r="C79" s="421"/>
      <c r="E79" s="415" t="s">
        <v>98</v>
      </c>
      <c r="F79" s="629">
        <v>1322204</v>
      </c>
    </row>
    <row r="80" spans="1:6" s="419" customFormat="1">
      <c r="A80" s="409" t="str">
        <f t="shared" si="2"/>
        <v>Ingresos Diferidos</v>
      </c>
      <c r="B80" s="410">
        <f t="shared" si="2"/>
        <v>454881917</v>
      </c>
      <c r="C80" s="421"/>
      <c r="E80" t="s">
        <v>99</v>
      </c>
      <c r="F80" s="411">
        <v>454881917</v>
      </c>
    </row>
    <row r="81" spans="1:6" s="419" customFormat="1">
      <c r="A81" s="409" t="str">
        <f t="shared" si="2"/>
        <v>Intereses Diferidos M/L -Cupones en Repos</v>
      </c>
      <c r="B81" s="410">
        <f t="shared" si="2"/>
        <v>449997095</v>
      </c>
      <c r="C81" s="421"/>
      <c r="E81" s="415" t="s">
        <v>100</v>
      </c>
      <c r="F81" s="629">
        <v>449997095</v>
      </c>
    </row>
    <row r="82" spans="1:6" s="420" customFormat="1">
      <c r="A82" s="409" t="str">
        <f t="shared" si="2"/>
        <v>Ingresos Diferidos Administración - M/L</v>
      </c>
      <c r="B82" s="410">
        <f t="shared" si="2"/>
        <v>4884822</v>
      </c>
      <c r="C82" s="417"/>
      <c r="E82" t="s">
        <v>101</v>
      </c>
      <c r="F82" s="411">
        <v>4884822</v>
      </c>
    </row>
    <row r="83" spans="1:6">
      <c r="A83" s="409" t="str">
        <f t="shared" ref="A83:A94" si="3">+E83</f>
        <v>Patrimonio Neto</v>
      </c>
      <c r="B83" s="410">
        <f t="shared" ref="B83:B94" si="4">+F83</f>
        <v>3728322648.3000002</v>
      </c>
      <c r="C83" s="409"/>
      <c r="E83" s="409" t="s">
        <v>102</v>
      </c>
      <c r="F83" s="410">
        <v>3728322648.3000002</v>
      </c>
    </row>
    <row r="84" spans="1:6">
      <c r="A84" s="409" t="str">
        <f t="shared" si="3"/>
        <v>Capital</v>
      </c>
      <c r="B84" s="410">
        <f t="shared" si="4"/>
        <v>3805000000</v>
      </c>
      <c r="C84" s="409"/>
      <c r="E84" s="409" t="s">
        <v>103</v>
      </c>
      <c r="F84" s="410">
        <v>3805000000</v>
      </c>
    </row>
    <row r="85" spans="1:6">
      <c r="A85" s="409" t="str">
        <f t="shared" si="3"/>
        <v>Capital Integrado</v>
      </c>
      <c r="B85" s="410">
        <f t="shared" si="4"/>
        <v>3805000000</v>
      </c>
      <c r="C85" s="409"/>
      <c r="E85" s="409" t="s">
        <v>104</v>
      </c>
      <c r="F85" s="410">
        <v>3805000000</v>
      </c>
    </row>
    <row r="86" spans="1:6">
      <c r="A86" s="409" t="str">
        <f t="shared" si="3"/>
        <v>Capital Suscripto</v>
      </c>
      <c r="B86" s="410">
        <f t="shared" si="4"/>
        <v>5000000000</v>
      </c>
      <c r="C86" s="409"/>
      <c r="E86" s="409" t="s">
        <v>105</v>
      </c>
      <c r="F86" s="410">
        <v>5000000000</v>
      </c>
    </row>
    <row r="87" spans="1:6">
      <c r="A87" s="409" t="str">
        <f t="shared" si="3"/>
        <v>(-) Capital a Integrar</v>
      </c>
      <c r="B87" s="410">
        <f t="shared" si="4"/>
        <v>-1195000000</v>
      </c>
      <c r="C87" s="409"/>
      <c r="E87" t="s">
        <v>106</v>
      </c>
      <c r="F87" s="411">
        <v>-1195000000</v>
      </c>
    </row>
    <row r="88" spans="1:6">
      <c r="A88" s="409" t="str">
        <f t="shared" si="3"/>
        <v>Reservas</v>
      </c>
      <c r="B88" s="410">
        <f t="shared" si="4"/>
        <v>102000000</v>
      </c>
      <c r="C88" s="409"/>
      <c r="E88" t="s">
        <v>107</v>
      </c>
      <c r="F88" s="411">
        <v>102000000</v>
      </c>
    </row>
    <row r="89" spans="1:6">
      <c r="A89" s="409" t="str">
        <f t="shared" si="3"/>
        <v>Otras Reservas</v>
      </c>
      <c r="B89" s="410">
        <f t="shared" si="4"/>
        <v>102000000</v>
      </c>
      <c r="C89" s="409"/>
      <c r="E89" t="s">
        <v>108</v>
      </c>
      <c r="F89" s="411">
        <v>102000000</v>
      </c>
    </row>
    <row r="90" spans="1:6">
      <c r="A90" s="409" t="str">
        <f t="shared" si="3"/>
        <v>Valuación de Acción en BVPASA</v>
      </c>
      <c r="B90" s="410">
        <f t="shared" si="4"/>
        <v>102000000</v>
      </c>
      <c r="C90" s="409"/>
      <c r="E90" t="s">
        <v>109</v>
      </c>
      <c r="F90" s="411">
        <v>102000000</v>
      </c>
    </row>
    <row r="91" spans="1:6">
      <c r="A91" s="409" t="str">
        <f t="shared" si="3"/>
        <v>Resultados</v>
      </c>
      <c r="B91" s="410">
        <f t="shared" si="4"/>
        <v>-178677351.69999999</v>
      </c>
      <c r="C91" s="409"/>
      <c r="E91" t="s">
        <v>110</v>
      </c>
      <c r="F91" s="411">
        <v>-178677351.69999999</v>
      </c>
    </row>
    <row r="92" spans="1:6">
      <c r="A92" s="409" t="str">
        <f t="shared" si="3"/>
        <v>Resultados Acumulados</v>
      </c>
      <c r="B92" s="410">
        <f t="shared" si="4"/>
        <v>-9529901</v>
      </c>
      <c r="C92" s="409"/>
      <c r="E92" t="s">
        <v>111</v>
      </c>
      <c r="F92" s="411">
        <v>-9529901</v>
      </c>
    </row>
    <row r="93" spans="1:6">
      <c r="A93" s="409" t="str">
        <f t="shared" si="3"/>
        <v>Resultados Acumulados 2021</v>
      </c>
      <c r="B93" s="410">
        <f t="shared" si="4"/>
        <v>-9529901</v>
      </c>
      <c r="C93" s="409"/>
      <c r="E93" t="s">
        <v>112</v>
      </c>
      <c r="F93" s="411">
        <v>-9529901</v>
      </c>
    </row>
    <row r="94" spans="1:6">
      <c r="A94" s="409" t="str">
        <f t="shared" si="3"/>
        <v>Resultado Del Ejercicio</v>
      </c>
      <c r="B94" s="410">
        <f t="shared" si="4"/>
        <v>-169147450.69999999</v>
      </c>
      <c r="C94" s="409"/>
      <c r="E94" t="s">
        <v>113</v>
      </c>
      <c r="F94" s="411">
        <v>-169147450.69999999</v>
      </c>
    </row>
    <row r="97" spans="1:2">
      <c r="A97" s="414" t="s">
        <v>114</v>
      </c>
      <c r="B97" s="422" t="s">
        <v>115</v>
      </c>
    </row>
    <row r="98" spans="1:2">
      <c r="A98" s="409" t="s">
        <v>116</v>
      </c>
      <c r="B98" s="410">
        <f>+B3</f>
        <v>11737588990</v>
      </c>
    </row>
    <row r="99" spans="1:2">
      <c r="A99" s="409" t="s">
        <v>117</v>
      </c>
      <c r="B99" s="410">
        <f>B60</f>
        <v>8009266341</v>
      </c>
    </row>
    <row r="100" spans="1:2">
      <c r="A100" s="409" t="s">
        <v>118</v>
      </c>
      <c r="B100" s="410">
        <f>B83</f>
        <v>3728322648.3000002</v>
      </c>
    </row>
    <row r="101" spans="1:2">
      <c r="B101" s="410">
        <f>+B98-B99-B100</f>
        <v>0.69999980926513672</v>
      </c>
    </row>
    <row r="102" spans="1:2">
      <c r="A102" s="409" t="s">
        <v>119</v>
      </c>
      <c r="B102" s="410">
        <f>B94</f>
        <v>-169147450.69999999</v>
      </c>
    </row>
  </sheetData>
  <mergeCells count="1">
    <mergeCell ref="G16:I16"/>
  </mergeCells>
  <hyperlinks>
    <hyperlink ref="C8" location="'Bancos Operaciones'!A1" display="'Bancos Operaciones'!A1" xr:uid="{861A3C27-9623-4443-95DB-F8966789FBFA}"/>
    <hyperlink ref="C11" location="'Bancos Administración'!A1" display="'Bancos Administración'!A1" xr:uid="{3862CEC3-7671-48E6-9AD5-DA2992EDEC2E}"/>
    <hyperlink ref="C25" location="'Repos al 31 12 21'!A1" display="'Repos al 31 12 21'!A1" xr:uid="{0365BB2E-F3A0-448C-B03E-53EE77ABFA17}"/>
    <hyperlink ref="C33" location="Clientes!A1" display="Clientes!A1" xr:uid="{BA326645-11F0-4FA7-A8E4-71F3A714C6D5}"/>
    <hyperlink ref="C34" location="'IVA Crédito'!A1" display="'IVA Crédito'!A1" xr:uid="{C89A153D-B5AB-43DE-92B1-10E9B50BE64C}"/>
    <hyperlink ref="C38" location="'Prestamo a Accionista '!A1" display="'Prestamo a Accionista '!A1" xr:uid="{369E12F2-5AE7-473C-94F7-97B99AF3997A}"/>
    <hyperlink ref="C49" location="'Amortizac Gastos Constituc'!A1" display="'Amortizac Gastos Constituc'!A1" xr:uid="{1F9AEB88-1CF9-4D85-8383-544D9FE42E45}"/>
    <hyperlink ref="C67" location="Proveedores!A1" display="Proveedores!A1" xr:uid="{F477187A-BF9B-4CA2-A602-BC53F1CFFF03}"/>
    <hyperlink ref="C75" location="'Conformaciión Capital'!A1" display="'Conformaciión Capital'!A1" xr:uid="{28F00D24-0168-46BE-A523-DB1E3780B165}"/>
    <hyperlink ref="C45" location="'ACCION BVPASA'!A1" display="'ACCION BVPASA'!A1" xr:uid="{0AD706C3-279D-4CCC-B195-BF4171A1AB11}"/>
    <hyperlink ref="C47" location="'Equipo de Informatica'!A1" display="'Equipo de Informatica'!A1" xr:uid="{0D00B209-BDF8-4077-96B7-E2C8F965888C}"/>
    <hyperlink ref="C19" location="Inventario!A1" display="Inventario Valuado 31 12 2021'!A1" xr:uid="{D6D31892-2FE5-4803-A2F8-85667E930573}"/>
    <hyperlink ref="C53" location="'Acreedores por Intermed ML - ME'!A1" display="Acreedores por Intermed 31 12 '!A1" xr:uid="{E6826967-88DD-4D0F-A35D-86459CA1BB03}"/>
    <hyperlink ref="C62" location="'Prestamos e Intereses generados'!A1" display="Repos al 31 12 21'!A1" xr:uid="{09472A20-F11A-4FA7-8727-F107DB67F7A9}"/>
  </hyperlinks>
  <pageMargins left="0.7" right="0.7" top="0.75" bottom="0.75" header="0.3" footer="0.3"/>
  <pageSetup paperSize="9" scale="95" fitToHeight="0" orientation="portrait" horizontalDpi="0" verticalDpi="0" r:id="rId1"/>
  <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C1:F55"/>
  <sheetViews>
    <sheetView showGridLines="0" topLeftCell="A24" zoomScale="110" zoomScaleNormal="110" workbookViewId="0">
      <selection activeCell="A3" sqref="A3"/>
    </sheetView>
  </sheetViews>
  <sheetFormatPr baseColWidth="10" defaultColWidth="9.140625" defaultRowHeight="12"/>
  <cols>
    <col min="1" max="3" width="2.42578125" style="28" customWidth="1"/>
    <col min="4" max="4" width="74.42578125" style="28" customWidth="1"/>
    <col min="5" max="257" width="11.42578125" style="28" customWidth="1"/>
    <col min="258" max="16384" width="9.140625" style="28"/>
  </cols>
  <sheetData>
    <row r="1" spans="3:6" ht="55.35" customHeight="1"/>
    <row r="3" spans="3:6">
      <c r="D3" s="176" t="s">
        <v>734</v>
      </c>
    </row>
    <row r="4" spans="3:6">
      <c r="C4" s="176"/>
      <c r="D4" s="29"/>
    </row>
    <row r="5" spans="3:6">
      <c r="C5" s="29"/>
      <c r="D5" s="176" t="s">
        <v>735</v>
      </c>
      <c r="E5" s="29"/>
      <c r="F5" s="29"/>
    </row>
    <row r="6" spans="3:6">
      <c r="C6" s="29"/>
      <c r="D6" s="29"/>
    </row>
    <row r="7" spans="3:6" ht="48">
      <c r="C7" s="29"/>
      <c r="D7" s="241" t="s">
        <v>736</v>
      </c>
    </row>
    <row r="8" spans="3:6">
      <c r="C8" s="31"/>
      <c r="D8" s="31"/>
    </row>
    <row r="9" spans="3:6">
      <c r="C9" s="31"/>
      <c r="D9" s="29" t="s">
        <v>737</v>
      </c>
      <c r="E9" s="29"/>
      <c r="F9" s="29"/>
    </row>
    <row r="10" spans="3:6">
      <c r="C10" s="29"/>
      <c r="D10" s="31"/>
    </row>
    <row r="11" spans="3:6">
      <c r="C11" s="31"/>
      <c r="D11" s="30" t="s">
        <v>738</v>
      </c>
    </row>
    <row r="12" spans="3:6">
      <c r="C12" s="30"/>
      <c r="D12" s="30"/>
    </row>
    <row r="13" spans="3:6" ht="72">
      <c r="C13" s="30"/>
      <c r="D13" s="30" t="s">
        <v>739</v>
      </c>
    </row>
    <row r="14" spans="3:6">
      <c r="C14" s="30"/>
      <c r="D14" s="31"/>
    </row>
    <row r="15" spans="3:6" ht="36">
      <c r="C15" s="31"/>
      <c r="D15" s="593" t="s">
        <v>740</v>
      </c>
    </row>
    <row r="16" spans="3:6">
      <c r="C16" s="31"/>
      <c r="D16" s="31"/>
    </row>
    <row r="17" spans="3:6">
      <c r="C17" s="31"/>
      <c r="D17" s="31" t="s">
        <v>741</v>
      </c>
      <c r="F17" s="31"/>
    </row>
    <row r="18" spans="3:6" ht="24">
      <c r="D18" s="31" t="s">
        <v>742</v>
      </c>
    </row>
    <row r="19" spans="3:6" ht="24">
      <c r="C19" s="31"/>
      <c r="D19" s="31" t="s">
        <v>743</v>
      </c>
    </row>
    <row r="20" spans="3:6" ht="24">
      <c r="C20" s="31"/>
      <c r="D20" s="31" t="s">
        <v>744</v>
      </c>
    </row>
    <row r="21" spans="3:6" ht="24">
      <c r="C21" s="31"/>
      <c r="D21" s="31" t="s">
        <v>745</v>
      </c>
    </row>
    <row r="22" spans="3:6">
      <c r="C22" s="31"/>
      <c r="D22" s="31" t="s">
        <v>746</v>
      </c>
    </row>
    <row r="23" spans="3:6">
      <c r="C23" s="31"/>
      <c r="D23" s="31" t="s">
        <v>747</v>
      </c>
    </row>
    <row r="24" spans="3:6" ht="36">
      <c r="C24" s="31"/>
      <c r="D24" s="31" t="s">
        <v>748</v>
      </c>
    </row>
    <row r="25" spans="3:6" ht="36">
      <c r="C25" s="31"/>
      <c r="D25" s="31" t="s">
        <v>749</v>
      </c>
    </row>
    <row r="26" spans="3:6" ht="24">
      <c r="C26" s="31"/>
      <c r="D26" s="31" t="s">
        <v>750</v>
      </c>
    </row>
    <row r="27" spans="3:6" ht="36">
      <c r="C27" s="31"/>
      <c r="D27" s="31" t="s">
        <v>751</v>
      </c>
    </row>
    <row r="28" spans="3:6">
      <c r="C28" s="31"/>
      <c r="D28" s="30"/>
    </row>
    <row r="29" spans="3:6">
      <c r="C29" s="30"/>
      <c r="D29" s="30" t="s">
        <v>752</v>
      </c>
    </row>
    <row r="30" spans="3:6">
      <c r="C30" s="30"/>
      <c r="D30" s="242"/>
    </row>
    <row r="31" spans="3:6" ht="24">
      <c r="C31" s="242"/>
      <c r="D31" s="31" t="s">
        <v>753</v>
      </c>
    </row>
    <row r="32" spans="3:6">
      <c r="C32" s="31"/>
      <c r="D32" s="31"/>
    </row>
    <row r="33" spans="3:6">
      <c r="C33" s="31"/>
      <c r="D33" s="29" t="s">
        <v>754</v>
      </c>
      <c r="E33" s="29"/>
      <c r="F33" s="29"/>
    </row>
    <row r="34" spans="3:6">
      <c r="C34" s="29"/>
      <c r="D34" s="31"/>
    </row>
    <row r="35" spans="3:6">
      <c r="C35" s="31"/>
      <c r="D35" s="30" t="s">
        <v>755</v>
      </c>
    </row>
    <row r="36" spans="3:6" ht="24">
      <c r="C36" s="30"/>
      <c r="D36" s="31" t="s">
        <v>756</v>
      </c>
    </row>
    <row r="37" spans="3:6">
      <c r="C37" s="31"/>
      <c r="D37" s="31"/>
    </row>
    <row r="38" spans="3:6">
      <c r="C38" s="31"/>
      <c r="D38" s="30" t="s">
        <v>757</v>
      </c>
    </row>
    <row r="39" spans="3:6" ht="72">
      <c r="C39" s="30"/>
      <c r="D39" s="31" t="s">
        <v>758</v>
      </c>
    </row>
    <row r="40" spans="3:6">
      <c r="C40" s="31"/>
      <c r="D40" s="31"/>
    </row>
    <row r="41" spans="3:6">
      <c r="C41" s="31"/>
      <c r="D41" s="30" t="s">
        <v>759</v>
      </c>
    </row>
    <row r="42" spans="3:6">
      <c r="C42" s="30"/>
      <c r="D42" s="31" t="s">
        <v>760</v>
      </c>
    </row>
    <row r="43" spans="3:6">
      <c r="C43" s="31"/>
      <c r="D43" s="30"/>
    </row>
    <row r="44" spans="3:6">
      <c r="C44" s="30"/>
      <c r="D44" s="30" t="s">
        <v>761</v>
      </c>
    </row>
    <row r="45" spans="3:6" ht="24">
      <c r="C45" s="31"/>
      <c r="D45" s="31" t="s">
        <v>762</v>
      </c>
    </row>
    <row r="46" spans="3:6">
      <c r="C46" s="31"/>
      <c r="D46" s="31"/>
    </row>
    <row r="47" spans="3:6">
      <c r="C47" s="31"/>
      <c r="D47" s="30" t="s">
        <v>763</v>
      </c>
    </row>
    <row r="48" spans="3:6" ht="36">
      <c r="C48" s="30"/>
      <c r="D48" s="31" t="s">
        <v>764</v>
      </c>
    </row>
    <row r="49" spans="3:6">
      <c r="C49" s="31"/>
      <c r="D49" s="31"/>
    </row>
    <row r="50" spans="3:6">
      <c r="C50" s="31"/>
      <c r="D50" s="30" t="s">
        <v>765</v>
      </c>
    </row>
    <row r="51" spans="3:6" ht="36">
      <c r="C51" s="30"/>
      <c r="D51" s="31" t="s">
        <v>766</v>
      </c>
    </row>
    <row r="52" spans="3:6">
      <c r="C52" s="31"/>
      <c r="D52" s="29"/>
    </row>
    <row r="53" spans="3:6">
      <c r="C53" s="29"/>
      <c r="D53" s="29" t="s">
        <v>767</v>
      </c>
      <c r="E53" s="29"/>
      <c r="F53" s="29"/>
    </row>
    <row r="54" spans="3:6">
      <c r="C54" s="29"/>
      <c r="D54" s="86" t="s">
        <v>768</v>
      </c>
    </row>
    <row r="55" spans="3:6">
      <c r="C55" s="86"/>
    </row>
  </sheetData>
  <sheetProtection algorithmName="SHA-512" hashValue="3GOfjGVlH3uyzl+AAoANUJqGRkdfWzehgohIMvtR1X3hhZ1Y/p+V2LQ/nHuDiYn2c+TbeNCTm7zK8FSIP/dsjQ==" saltValue="kcrByVjbxSnLsdbpIwq2x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002060"/>
  </sheetPr>
  <dimension ref="C1:L99"/>
  <sheetViews>
    <sheetView showGridLines="0" topLeftCell="A65" zoomScale="110" zoomScaleNormal="110" workbookViewId="0">
      <selection activeCell="A3" sqref="A3"/>
    </sheetView>
  </sheetViews>
  <sheetFormatPr baseColWidth="10" defaultColWidth="11.42578125" defaultRowHeight="12"/>
  <cols>
    <col min="1" max="1" width="3" style="28" customWidth="1"/>
    <col min="2" max="2" width="5.42578125" style="28" customWidth="1"/>
    <col min="3" max="3" width="47.42578125" style="28" bestFit="1" customWidth="1"/>
    <col min="4" max="4" width="11.85546875" style="28" bestFit="1" customWidth="1"/>
    <col min="5" max="5" width="15.42578125" style="28" bestFit="1" customWidth="1"/>
    <col min="6" max="6" width="9.85546875" style="28" bestFit="1" customWidth="1"/>
    <col min="7" max="7" width="13.42578125" style="28" customWidth="1"/>
    <col min="8" max="8" width="13.140625" style="28" bestFit="1" customWidth="1"/>
    <col min="9" max="9" width="12.42578125" style="28" customWidth="1"/>
    <col min="10" max="10" width="13.85546875" style="28" bestFit="1" customWidth="1"/>
    <col min="11" max="11" width="13.85546875" style="28" customWidth="1"/>
    <col min="12" max="12" width="14.140625" style="28" bestFit="1" customWidth="1"/>
    <col min="13" max="16384" width="11.42578125" style="28"/>
  </cols>
  <sheetData>
    <row r="1" spans="3:11">
      <c r="C1" s="27"/>
    </row>
    <row r="3" spans="3:11">
      <c r="C3" s="29" t="s">
        <v>769</v>
      </c>
      <c r="D3" s="29"/>
    </row>
    <row r="4" spans="3:11">
      <c r="C4" s="29"/>
      <c r="D4" s="29"/>
    </row>
    <row r="5" spans="3:11" ht="18.75" customHeight="1">
      <c r="C5" s="30" t="s">
        <v>770</v>
      </c>
    </row>
    <row r="6" spans="3:11">
      <c r="C6" s="31"/>
    </row>
    <row r="7" spans="3:11">
      <c r="C7" s="32" t="s">
        <v>771</v>
      </c>
      <c r="D7" s="33" t="str">
        <f>+INDICE!I3</f>
        <v>Al 31/12/2022</v>
      </c>
      <c r="E7" s="33">
        <v>44561</v>
      </c>
    </row>
    <row r="8" spans="3:11">
      <c r="C8" s="34" t="s">
        <v>772</v>
      </c>
      <c r="D8" s="35">
        <v>7322.9</v>
      </c>
      <c r="E8" s="35">
        <v>6870.81</v>
      </c>
    </row>
    <row r="9" spans="3:11">
      <c r="C9" s="36" t="s">
        <v>773</v>
      </c>
      <c r="D9" s="35">
        <v>7339.62</v>
      </c>
      <c r="E9" s="35">
        <v>6887.4</v>
      </c>
    </row>
    <row r="11" spans="3:11">
      <c r="C11" s="30" t="s">
        <v>774</v>
      </c>
    </row>
    <row r="12" spans="3:11">
      <c r="C12" s="30"/>
    </row>
    <row r="13" spans="3:11">
      <c r="C13" s="37" t="s">
        <v>775</v>
      </c>
    </row>
    <row r="16" spans="3:11" ht="48">
      <c r="C16" s="32" t="s">
        <v>776</v>
      </c>
      <c r="D16" s="38" t="s">
        <v>777</v>
      </c>
      <c r="E16" s="38" t="s">
        <v>778</v>
      </c>
      <c r="F16" s="38" t="s">
        <v>779</v>
      </c>
      <c r="G16" s="38" t="s">
        <v>780</v>
      </c>
      <c r="H16" s="38" t="s">
        <v>777</v>
      </c>
      <c r="I16" s="38" t="s">
        <v>778</v>
      </c>
      <c r="J16" s="38" t="s">
        <v>781</v>
      </c>
      <c r="K16" s="38" t="s">
        <v>782</v>
      </c>
    </row>
    <row r="17" spans="3:12">
      <c r="C17" s="39" t="s">
        <v>116</v>
      </c>
      <c r="D17" s="40"/>
      <c r="E17" s="40"/>
      <c r="F17" s="40"/>
      <c r="G17" s="40"/>
      <c r="H17" s="40"/>
      <c r="I17" s="40"/>
      <c r="J17" s="40"/>
      <c r="K17" s="40"/>
    </row>
    <row r="18" spans="3:12">
      <c r="C18" s="39" t="s">
        <v>783</v>
      </c>
      <c r="D18" s="40"/>
      <c r="E18" s="40"/>
      <c r="F18" s="40"/>
      <c r="G18" s="40"/>
      <c r="H18" s="40"/>
      <c r="I18" s="40"/>
      <c r="J18" s="40"/>
      <c r="K18" s="40"/>
    </row>
    <row r="19" spans="3:12">
      <c r="C19" s="39" t="s">
        <v>623</v>
      </c>
      <c r="D19" s="40"/>
      <c r="E19" s="41"/>
      <c r="F19" s="40"/>
      <c r="G19" s="40"/>
      <c r="H19" s="40"/>
      <c r="I19" s="41"/>
      <c r="J19" s="40"/>
      <c r="K19" s="40"/>
      <c r="L19" s="42"/>
    </row>
    <row r="20" spans="3:12">
      <c r="C20" s="40" t="s">
        <v>393</v>
      </c>
      <c r="D20" s="43" t="s">
        <v>784</v>
      </c>
      <c r="E20" s="44">
        <v>0</v>
      </c>
      <c r="F20" s="45">
        <f>+D8</f>
        <v>7322.9</v>
      </c>
      <c r="G20" s="45">
        <v>0</v>
      </c>
      <c r="H20" s="43" t="s">
        <v>784</v>
      </c>
      <c r="I20" s="44">
        <v>0</v>
      </c>
      <c r="J20" s="45">
        <v>6891.96</v>
      </c>
      <c r="K20" s="45">
        <v>0</v>
      </c>
    </row>
    <row r="21" spans="3:12">
      <c r="C21" s="40" t="s">
        <v>397</v>
      </c>
      <c r="D21" s="43" t="s">
        <v>784</v>
      </c>
      <c r="E21" s="44">
        <f>+G21/F21</f>
        <v>39690.610004233298</v>
      </c>
      <c r="F21" s="45">
        <f>+F20</f>
        <v>7322.9</v>
      </c>
      <c r="G21" s="175">
        <f>'Balance Gral 2022'!B8+'Balance Gral 2022'!B13</f>
        <v>290650368</v>
      </c>
      <c r="H21" s="43" t="s">
        <v>784</v>
      </c>
      <c r="I21" s="44">
        <v>849.16261689999999</v>
      </c>
      <c r="J21" s="45">
        <v>6891.96</v>
      </c>
      <c r="K21" s="175">
        <v>5877496.0361256879</v>
      </c>
    </row>
    <row r="22" spans="3:12">
      <c r="C22" s="47" t="s">
        <v>785</v>
      </c>
      <c r="D22" s="48"/>
      <c r="E22" s="44">
        <f t="shared" ref="E22:E57" si="0">+G22/F22</f>
        <v>0</v>
      </c>
      <c r="F22" s="45">
        <f t="shared" ref="F22:F57" si="1">+F21</f>
        <v>7322.9</v>
      </c>
      <c r="G22" s="45"/>
      <c r="H22" s="48"/>
      <c r="I22" s="44"/>
      <c r="J22" s="45">
        <v>6891.96</v>
      </c>
      <c r="K22" s="45"/>
    </row>
    <row r="23" spans="3:12">
      <c r="C23" s="48" t="s">
        <v>786</v>
      </c>
      <c r="D23" s="49" t="s">
        <v>784</v>
      </c>
      <c r="E23" s="44">
        <f t="shared" si="0"/>
        <v>0</v>
      </c>
      <c r="F23" s="45">
        <f t="shared" si="1"/>
        <v>7322.9</v>
      </c>
      <c r="G23" s="45">
        <v>0</v>
      </c>
      <c r="H23" s="49" t="s">
        <v>784</v>
      </c>
      <c r="I23" s="44">
        <v>0</v>
      </c>
      <c r="J23" s="45">
        <v>6891.96</v>
      </c>
      <c r="K23" s="45">
        <v>0</v>
      </c>
    </row>
    <row r="24" spans="3:12">
      <c r="C24" s="48" t="s">
        <v>787</v>
      </c>
      <c r="D24" s="49" t="s">
        <v>784</v>
      </c>
      <c r="E24" s="44">
        <f t="shared" si="0"/>
        <v>0</v>
      </c>
      <c r="F24" s="45">
        <f t="shared" si="1"/>
        <v>7322.9</v>
      </c>
      <c r="G24" s="45">
        <v>0</v>
      </c>
      <c r="H24" s="49" t="s">
        <v>784</v>
      </c>
      <c r="I24" s="175">
        <v>0</v>
      </c>
      <c r="J24" s="45">
        <v>6891.96</v>
      </c>
      <c r="K24" s="45">
        <v>0</v>
      </c>
    </row>
    <row r="25" spans="3:12">
      <c r="C25" s="48" t="s">
        <v>788</v>
      </c>
      <c r="D25" s="49" t="s">
        <v>784</v>
      </c>
      <c r="E25" s="44">
        <f t="shared" si="0"/>
        <v>0</v>
      </c>
      <c r="F25" s="45">
        <f t="shared" si="1"/>
        <v>7322.9</v>
      </c>
      <c r="G25" s="45"/>
      <c r="H25" s="49" t="s">
        <v>784</v>
      </c>
      <c r="I25" s="44"/>
      <c r="J25" s="45">
        <v>6891.96</v>
      </c>
      <c r="K25" s="45"/>
    </row>
    <row r="26" spans="3:12">
      <c r="C26" s="40"/>
      <c r="D26" s="43"/>
      <c r="E26" s="44">
        <f t="shared" si="0"/>
        <v>0</v>
      </c>
      <c r="F26" s="45">
        <f t="shared" si="1"/>
        <v>7322.9</v>
      </c>
      <c r="G26" s="45"/>
      <c r="H26" s="43"/>
      <c r="I26" s="44"/>
      <c r="J26" s="45"/>
      <c r="K26" s="45"/>
    </row>
    <row r="27" spans="3:12">
      <c r="C27" s="39" t="s">
        <v>612</v>
      </c>
      <c r="D27" s="40"/>
      <c r="E27" s="44">
        <f t="shared" si="0"/>
        <v>0</v>
      </c>
      <c r="F27" s="45">
        <f t="shared" si="1"/>
        <v>7322.9</v>
      </c>
      <c r="G27" s="45"/>
      <c r="H27" s="40"/>
      <c r="I27" s="44"/>
      <c r="J27" s="45">
        <v>6891.96</v>
      </c>
      <c r="K27" s="45"/>
    </row>
    <row r="28" spans="3:12">
      <c r="C28" s="40" t="s">
        <v>413</v>
      </c>
      <c r="D28" s="43" t="s">
        <v>784</v>
      </c>
      <c r="E28" s="44">
        <f t="shared" si="0"/>
        <v>947.10005598874773</v>
      </c>
      <c r="F28" s="45">
        <f t="shared" si="1"/>
        <v>7322.9</v>
      </c>
      <c r="G28" s="45">
        <f>'Balance Gral 2022'!B32</f>
        <v>6935519</v>
      </c>
      <c r="H28" s="43" t="s">
        <v>784</v>
      </c>
      <c r="I28" s="44">
        <v>0</v>
      </c>
      <c r="J28" s="45">
        <v>6891.96</v>
      </c>
      <c r="K28" s="45">
        <v>0</v>
      </c>
    </row>
    <row r="29" spans="3:12">
      <c r="C29" s="40" t="s">
        <v>789</v>
      </c>
      <c r="D29" s="43" t="s">
        <v>784</v>
      </c>
      <c r="E29" s="44">
        <f t="shared" si="0"/>
        <v>0</v>
      </c>
      <c r="F29" s="45">
        <f t="shared" si="1"/>
        <v>7322.9</v>
      </c>
      <c r="G29" s="45">
        <v>0</v>
      </c>
      <c r="H29" s="43" t="s">
        <v>784</v>
      </c>
      <c r="I29" s="44">
        <v>0</v>
      </c>
      <c r="J29" s="45">
        <v>6891.96</v>
      </c>
      <c r="K29" s="45">
        <v>0</v>
      </c>
    </row>
    <row r="30" spans="3:12">
      <c r="C30" s="40" t="s">
        <v>790</v>
      </c>
      <c r="D30" s="43" t="s">
        <v>784</v>
      </c>
      <c r="E30" s="44">
        <f t="shared" si="0"/>
        <v>0</v>
      </c>
      <c r="F30" s="45">
        <f t="shared" si="1"/>
        <v>7322.9</v>
      </c>
      <c r="G30" s="45">
        <v>0</v>
      </c>
      <c r="H30" s="43" t="s">
        <v>784</v>
      </c>
      <c r="I30" s="44">
        <v>0</v>
      </c>
      <c r="J30" s="45">
        <v>6891.96</v>
      </c>
      <c r="K30" s="45">
        <v>0</v>
      </c>
    </row>
    <row r="31" spans="3:12">
      <c r="C31" s="40" t="s">
        <v>791</v>
      </c>
      <c r="D31" s="43" t="s">
        <v>784</v>
      </c>
      <c r="E31" s="44">
        <f t="shared" si="0"/>
        <v>0</v>
      </c>
      <c r="F31" s="45">
        <f t="shared" si="1"/>
        <v>7322.9</v>
      </c>
      <c r="G31" s="45">
        <v>0</v>
      </c>
      <c r="H31" s="43" t="s">
        <v>784</v>
      </c>
      <c r="I31" s="44">
        <v>0</v>
      </c>
      <c r="J31" s="45">
        <v>6891.96</v>
      </c>
      <c r="K31" s="45">
        <v>0</v>
      </c>
    </row>
    <row r="32" spans="3:12">
      <c r="C32" s="40" t="s">
        <v>421</v>
      </c>
      <c r="D32" s="43" t="s">
        <v>784</v>
      </c>
      <c r="E32" s="44">
        <f t="shared" si="0"/>
        <v>0</v>
      </c>
      <c r="F32" s="45">
        <f t="shared" si="1"/>
        <v>7322.9</v>
      </c>
      <c r="G32" s="45">
        <v>0</v>
      </c>
      <c r="H32" s="43" t="s">
        <v>784</v>
      </c>
      <c r="I32" s="44">
        <v>0</v>
      </c>
      <c r="J32" s="45">
        <v>6891.96</v>
      </c>
      <c r="K32" s="45">
        <v>0</v>
      </c>
    </row>
    <row r="33" spans="3:11">
      <c r="C33" s="40" t="s">
        <v>792</v>
      </c>
      <c r="D33" s="43" t="s">
        <v>784</v>
      </c>
      <c r="E33" s="44">
        <f t="shared" si="0"/>
        <v>0</v>
      </c>
      <c r="F33" s="45">
        <f t="shared" si="1"/>
        <v>7322.9</v>
      </c>
      <c r="G33" s="45">
        <v>0</v>
      </c>
      <c r="H33" s="43" t="s">
        <v>784</v>
      </c>
      <c r="I33" s="44">
        <v>0</v>
      </c>
      <c r="J33" s="45">
        <v>6891.96</v>
      </c>
      <c r="K33" s="45">
        <v>0</v>
      </c>
    </row>
    <row r="34" spans="3:11">
      <c r="C34" s="39" t="s">
        <v>793</v>
      </c>
      <c r="D34" s="40"/>
      <c r="E34" s="44">
        <f t="shared" si="0"/>
        <v>0</v>
      </c>
      <c r="F34" s="45">
        <f t="shared" si="1"/>
        <v>7322.9</v>
      </c>
      <c r="G34" s="45"/>
      <c r="H34" s="40"/>
      <c r="I34" s="44"/>
      <c r="J34" s="45">
        <v>6891.96</v>
      </c>
      <c r="K34" s="45"/>
    </row>
    <row r="35" spans="3:11">
      <c r="C35" s="40" t="s">
        <v>794</v>
      </c>
      <c r="D35" s="43" t="s">
        <v>784</v>
      </c>
      <c r="E35" s="44">
        <f t="shared" si="0"/>
        <v>0</v>
      </c>
      <c r="F35" s="45">
        <f t="shared" si="1"/>
        <v>7322.9</v>
      </c>
      <c r="G35" s="45">
        <v>0</v>
      </c>
      <c r="H35" s="43" t="s">
        <v>784</v>
      </c>
      <c r="I35" s="44">
        <v>0</v>
      </c>
      <c r="J35" s="45">
        <v>6891.96</v>
      </c>
      <c r="K35" s="45">
        <v>0</v>
      </c>
    </row>
    <row r="36" spans="3:11">
      <c r="C36" s="40" t="s">
        <v>795</v>
      </c>
      <c r="D36" s="43" t="s">
        <v>784</v>
      </c>
      <c r="E36" s="44">
        <f t="shared" si="0"/>
        <v>0</v>
      </c>
      <c r="F36" s="45">
        <f t="shared" si="1"/>
        <v>7322.9</v>
      </c>
      <c r="G36" s="45">
        <v>0</v>
      </c>
      <c r="H36" s="43" t="s">
        <v>784</v>
      </c>
      <c r="I36" s="44">
        <v>0</v>
      </c>
      <c r="J36" s="45">
        <v>6891.96</v>
      </c>
      <c r="K36" s="45">
        <v>0</v>
      </c>
    </row>
    <row r="37" spans="3:11">
      <c r="C37" s="39" t="s">
        <v>428</v>
      </c>
      <c r="D37" s="40"/>
      <c r="E37" s="44">
        <f t="shared" si="0"/>
        <v>0</v>
      </c>
      <c r="F37" s="45">
        <f t="shared" si="1"/>
        <v>7322.9</v>
      </c>
      <c r="G37" s="45"/>
      <c r="H37" s="40"/>
      <c r="I37" s="44"/>
      <c r="J37" s="45">
        <v>6891.96</v>
      </c>
      <c r="K37" s="45"/>
    </row>
    <row r="38" spans="3:11">
      <c r="C38" s="40" t="s">
        <v>796</v>
      </c>
      <c r="D38" s="43" t="s">
        <v>784</v>
      </c>
      <c r="E38" s="44">
        <f t="shared" si="0"/>
        <v>0</v>
      </c>
      <c r="F38" s="45">
        <f t="shared" si="1"/>
        <v>7322.9</v>
      </c>
      <c r="G38" s="45">
        <v>0</v>
      </c>
      <c r="H38" s="43" t="s">
        <v>784</v>
      </c>
      <c r="I38" s="44">
        <v>0</v>
      </c>
      <c r="J38" s="45">
        <v>6891.96</v>
      </c>
      <c r="K38" s="45">
        <v>0</v>
      </c>
    </row>
    <row r="39" spans="3:11">
      <c r="C39" s="40" t="s">
        <v>797</v>
      </c>
      <c r="D39" s="43" t="s">
        <v>784</v>
      </c>
      <c r="E39" s="44">
        <f t="shared" si="0"/>
        <v>0</v>
      </c>
      <c r="F39" s="45">
        <f t="shared" si="1"/>
        <v>7322.9</v>
      </c>
      <c r="G39" s="45">
        <v>0</v>
      </c>
      <c r="H39" s="43" t="s">
        <v>784</v>
      </c>
      <c r="I39" s="44">
        <v>0</v>
      </c>
      <c r="J39" s="45">
        <v>6891.96</v>
      </c>
      <c r="K39" s="45">
        <v>0</v>
      </c>
    </row>
    <row r="40" spans="3:11">
      <c r="C40" s="46" t="s">
        <v>445</v>
      </c>
      <c r="D40" s="43"/>
      <c r="E40" s="44">
        <f t="shared" si="0"/>
        <v>0</v>
      </c>
      <c r="F40" s="45">
        <f t="shared" si="1"/>
        <v>7322.9</v>
      </c>
      <c r="G40" s="45"/>
      <c r="H40" s="43"/>
      <c r="I40" s="44"/>
      <c r="J40" s="45">
        <v>6891.96</v>
      </c>
      <c r="K40" s="45"/>
    </row>
    <row r="41" spans="3:11">
      <c r="C41" s="47" t="s">
        <v>612</v>
      </c>
      <c r="D41" s="48"/>
      <c r="E41" s="44">
        <f t="shared" si="0"/>
        <v>0</v>
      </c>
      <c r="F41" s="45">
        <f t="shared" si="1"/>
        <v>7322.9</v>
      </c>
      <c r="G41" s="45"/>
      <c r="H41" s="48"/>
      <c r="I41" s="44"/>
      <c r="J41" s="45">
        <v>6891.96</v>
      </c>
      <c r="K41" s="45"/>
    </row>
    <row r="42" spans="3:11" ht="14.25" customHeight="1">
      <c r="C42" s="48" t="s">
        <v>798</v>
      </c>
      <c r="D42" s="49" t="s">
        <v>784</v>
      </c>
      <c r="E42" s="44">
        <f t="shared" si="0"/>
        <v>0</v>
      </c>
      <c r="F42" s="45">
        <f t="shared" si="1"/>
        <v>7322.9</v>
      </c>
      <c r="G42" s="45">
        <v>0</v>
      </c>
      <c r="H42" s="49" t="s">
        <v>784</v>
      </c>
      <c r="I42" s="44">
        <v>0</v>
      </c>
      <c r="J42" s="45">
        <v>6891.96</v>
      </c>
      <c r="K42" s="45">
        <v>0</v>
      </c>
    </row>
    <row r="43" spans="3:11">
      <c r="C43" s="47" t="s">
        <v>799</v>
      </c>
      <c r="D43" s="48"/>
      <c r="E43" s="44">
        <f t="shared" si="0"/>
        <v>0</v>
      </c>
      <c r="F43" s="45">
        <f t="shared" si="1"/>
        <v>7322.9</v>
      </c>
      <c r="G43" s="45"/>
      <c r="H43" s="48"/>
      <c r="I43" s="44"/>
      <c r="J43" s="45">
        <v>6891.96</v>
      </c>
      <c r="K43" s="45"/>
    </row>
    <row r="44" spans="3:11">
      <c r="C44" s="48" t="s">
        <v>786</v>
      </c>
      <c r="D44" s="49" t="s">
        <v>784</v>
      </c>
      <c r="E44" s="44">
        <f t="shared" si="0"/>
        <v>0</v>
      </c>
      <c r="F44" s="45">
        <f t="shared" si="1"/>
        <v>7322.9</v>
      </c>
      <c r="G44" s="45">
        <v>0</v>
      </c>
      <c r="H44" s="49" t="s">
        <v>784</v>
      </c>
      <c r="I44" s="44">
        <v>0</v>
      </c>
      <c r="J44" s="45">
        <v>6891.96</v>
      </c>
      <c r="K44" s="45">
        <v>0</v>
      </c>
    </row>
    <row r="45" spans="3:11">
      <c r="C45" s="48" t="s">
        <v>787</v>
      </c>
      <c r="D45" s="49" t="s">
        <v>784</v>
      </c>
      <c r="E45" s="44">
        <f t="shared" si="0"/>
        <v>0</v>
      </c>
      <c r="F45" s="45">
        <f t="shared" si="1"/>
        <v>7322.9</v>
      </c>
      <c r="G45" s="45">
        <v>0</v>
      </c>
      <c r="H45" s="49" t="s">
        <v>784</v>
      </c>
      <c r="I45" s="175">
        <v>0</v>
      </c>
      <c r="J45" s="45">
        <v>6891.96</v>
      </c>
      <c r="K45" s="45">
        <v>0</v>
      </c>
    </row>
    <row r="46" spans="3:11">
      <c r="C46" s="48" t="s">
        <v>788</v>
      </c>
      <c r="D46" s="49" t="s">
        <v>784</v>
      </c>
      <c r="E46" s="44">
        <f t="shared" si="0"/>
        <v>0</v>
      </c>
      <c r="F46" s="45">
        <f t="shared" si="1"/>
        <v>7322.9</v>
      </c>
      <c r="G46" s="45"/>
      <c r="H46" s="49" t="s">
        <v>784</v>
      </c>
      <c r="I46" s="44"/>
      <c r="J46" s="45">
        <v>6891.96</v>
      </c>
      <c r="K46" s="45"/>
    </row>
    <row r="47" spans="3:11">
      <c r="C47" s="47" t="s">
        <v>800</v>
      </c>
      <c r="D47" s="48"/>
      <c r="E47" s="44">
        <f t="shared" si="0"/>
        <v>0</v>
      </c>
      <c r="F47" s="45">
        <f t="shared" si="1"/>
        <v>7322.9</v>
      </c>
      <c r="G47" s="45"/>
      <c r="H47" s="48"/>
      <c r="I47" s="44"/>
      <c r="J47" s="45">
        <v>6891.96</v>
      </c>
      <c r="K47" s="45"/>
    </row>
    <row r="48" spans="3:11">
      <c r="C48" s="48" t="s">
        <v>801</v>
      </c>
      <c r="D48" s="49" t="s">
        <v>784</v>
      </c>
      <c r="E48" s="44">
        <f t="shared" si="0"/>
        <v>0</v>
      </c>
      <c r="F48" s="45">
        <f t="shared" si="1"/>
        <v>7322.9</v>
      </c>
      <c r="G48" s="45">
        <v>0</v>
      </c>
      <c r="H48" s="49" t="s">
        <v>784</v>
      </c>
      <c r="I48" s="44">
        <v>0</v>
      </c>
      <c r="J48" s="45">
        <v>6891.96</v>
      </c>
      <c r="K48" s="45">
        <v>0</v>
      </c>
    </row>
    <row r="49" spans="3:11">
      <c r="C49" s="48" t="s">
        <v>802</v>
      </c>
      <c r="D49" s="49" t="s">
        <v>784</v>
      </c>
      <c r="E49" s="44">
        <f t="shared" si="0"/>
        <v>0</v>
      </c>
      <c r="F49" s="45">
        <f t="shared" si="1"/>
        <v>7322.9</v>
      </c>
      <c r="G49" s="45">
        <v>0</v>
      </c>
      <c r="H49" s="49" t="s">
        <v>784</v>
      </c>
      <c r="I49" s="44">
        <v>0</v>
      </c>
      <c r="J49" s="45">
        <v>6891.96</v>
      </c>
      <c r="K49" s="45">
        <v>0</v>
      </c>
    </row>
    <row r="50" spans="3:11">
      <c r="C50" s="47" t="s">
        <v>803</v>
      </c>
      <c r="D50" s="48"/>
      <c r="E50" s="44">
        <f t="shared" si="0"/>
        <v>0</v>
      </c>
      <c r="F50" s="45">
        <f t="shared" si="1"/>
        <v>7322.9</v>
      </c>
      <c r="G50" s="45"/>
      <c r="H50" s="48"/>
      <c r="I50" s="44"/>
      <c r="J50" s="45">
        <v>6891.96</v>
      </c>
      <c r="K50" s="45"/>
    </row>
    <row r="51" spans="3:11">
      <c r="C51" s="48" t="s">
        <v>477</v>
      </c>
      <c r="D51" s="49" t="s">
        <v>784</v>
      </c>
      <c r="E51" s="44">
        <f t="shared" si="0"/>
        <v>0</v>
      </c>
      <c r="F51" s="45">
        <f t="shared" si="1"/>
        <v>7322.9</v>
      </c>
      <c r="G51" s="45">
        <v>0</v>
      </c>
      <c r="H51" s="49" t="s">
        <v>784</v>
      </c>
      <c r="I51" s="44">
        <v>0</v>
      </c>
      <c r="J51" s="45">
        <v>6891.96</v>
      </c>
      <c r="K51" s="45">
        <v>0</v>
      </c>
    </row>
    <row r="52" spans="3:11">
      <c r="C52" s="48" t="s">
        <v>478</v>
      </c>
      <c r="D52" s="49" t="s">
        <v>784</v>
      </c>
      <c r="E52" s="44">
        <f t="shared" si="0"/>
        <v>0</v>
      </c>
      <c r="F52" s="45">
        <f t="shared" si="1"/>
        <v>7322.9</v>
      </c>
      <c r="G52" s="45">
        <v>0</v>
      </c>
      <c r="H52" s="49" t="s">
        <v>784</v>
      </c>
      <c r="I52" s="44">
        <v>0</v>
      </c>
      <c r="J52" s="45">
        <v>6891.96</v>
      </c>
      <c r="K52" s="45">
        <v>0</v>
      </c>
    </row>
    <row r="53" spans="3:11">
      <c r="C53" s="48" t="s">
        <v>482</v>
      </c>
      <c r="D53" s="49" t="s">
        <v>784</v>
      </c>
      <c r="E53" s="44">
        <f t="shared" si="0"/>
        <v>0</v>
      </c>
      <c r="F53" s="45">
        <f t="shared" si="1"/>
        <v>7322.9</v>
      </c>
      <c r="G53" s="45">
        <v>0</v>
      </c>
      <c r="H53" s="49" t="s">
        <v>784</v>
      </c>
      <c r="I53" s="44">
        <v>0</v>
      </c>
      <c r="J53" s="45">
        <v>6891.96</v>
      </c>
      <c r="K53" s="45">
        <v>0</v>
      </c>
    </row>
    <row r="54" spans="3:11">
      <c r="C54" s="48" t="s">
        <v>804</v>
      </c>
      <c r="D54" s="49" t="s">
        <v>784</v>
      </c>
      <c r="E54" s="44">
        <f t="shared" si="0"/>
        <v>0</v>
      </c>
      <c r="F54" s="45">
        <f t="shared" si="1"/>
        <v>7322.9</v>
      </c>
      <c r="G54" s="45">
        <v>0</v>
      </c>
      <c r="H54" s="49" t="s">
        <v>784</v>
      </c>
      <c r="I54" s="44">
        <v>0</v>
      </c>
      <c r="J54" s="45">
        <v>6891.96</v>
      </c>
      <c r="K54" s="45">
        <v>0</v>
      </c>
    </row>
    <row r="55" spans="3:11">
      <c r="C55" s="48" t="s">
        <v>805</v>
      </c>
      <c r="D55" s="49" t="s">
        <v>784</v>
      </c>
      <c r="E55" s="44">
        <f t="shared" si="0"/>
        <v>0</v>
      </c>
      <c r="F55" s="45">
        <f t="shared" si="1"/>
        <v>7322.9</v>
      </c>
      <c r="G55" s="45">
        <v>0</v>
      </c>
      <c r="H55" s="49" t="s">
        <v>784</v>
      </c>
      <c r="I55" s="44">
        <v>0</v>
      </c>
      <c r="J55" s="45">
        <v>6891.96</v>
      </c>
      <c r="K55" s="45">
        <v>0</v>
      </c>
    </row>
    <row r="56" spans="3:11">
      <c r="C56" s="46" t="s">
        <v>428</v>
      </c>
      <c r="D56" s="50"/>
      <c r="E56" s="44">
        <f t="shared" si="0"/>
        <v>0</v>
      </c>
      <c r="F56" s="45">
        <f t="shared" si="1"/>
        <v>7322.9</v>
      </c>
      <c r="G56" s="45"/>
      <c r="H56" s="50"/>
      <c r="I56" s="44"/>
      <c r="J56" s="45">
        <v>6891.96</v>
      </c>
      <c r="K56" s="45"/>
    </row>
    <row r="57" spans="3:11">
      <c r="C57" s="48" t="s">
        <v>806</v>
      </c>
      <c r="D57" s="49" t="s">
        <v>784</v>
      </c>
      <c r="E57" s="44">
        <f t="shared" si="0"/>
        <v>0</v>
      </c>
      <c r="F57" s="45">
        <f t="shared" si="1"/>
        <v>7322.9</v>
      </c>
      <c r="G57" s="45">
        <v>0</v>
      </c>
      <c r="H57" s="49" t="s">
        <v>784</v>
      </c>
      <c r="I57" s="44">
        <v>0</v>
      </c>
      <c r="J57" s="45">
        <v>6891.96</v>
      </c>
      <c r="K57" s="45">
        <v>0</v>
      </c>
    </row>
    <row r="60" spans="3:11" ht="48">
      <c r="C60" s="32" t="s">
        <v>776</v>
      </c>
      <c r="D60" s="38" t="s">
        <v>777</v>
      </c>
      <c r="E60" s="38" t="s">
        <v>778</v>
      </c>
      <c r="F60" s="38" t="str">
        <f>+F16</f>
        <v>CAMBIO CIERRE PERIODO ACTUAL</v>
      </c>
      <c r="G60" s="38"/>
      <c r="H60" s="38" t="s">
        <v>777</v>
      </c>
      <c r="I60" s="38" t="s">
        <v>778</v>
      </c>
      <c r="J60" s="38" t="str">
        <f>+J16</f>
        <v>CAMBIO CIERRE PERIODO ANTERIOR</v>
      </c>
      <c r="K60" s="38" t="s">
        <v>782</v>
      </c>
    </row>
    <row r="61" spans="3:11">
      <c r="C61" s="46" t="s">
        <v>117</v>
      </c>
      <c r="D61" s="50"/>
      <c r="E61" s="50"/>
      <c r="F61" s="50"/>
      <c r="G61" s="50"/>
      <c r="H61" s="50"/>
      <c r="I61" s="50"/>
      <c r="J61" s="50"/>
      <c r="K61" s="50"/>
    </row>
    <row r="62" spans="3:11">
      <c r="C62" s="46" t="s">
        <v>389</v>
      </c>
      <c r="D62" s="50"/>
      <c r="E62" s="50"/>
      <c r="F62" s="50"/>
      <c r="G62" s="50"/>
      <c r="H62" s="50"/>
      <c r="I62" s="50"/>
      <c r="J62" s="50"/>
      <c r="K62" s="50"/>
    </row>
    <row r="63" spans="3:11">
      <c r="C63" s="39" t="s">
        <v>807</v>
      </c>
      <c r="D63" s="40"/>
      <c r="E63" s="41"/>
      <c r="F63" s="51"/>
      <c r="G63" s="51"/>
      <c r="H63" s="40"/>
      <c r="I63" s="41"/>
      <c r="J63" s="40"/>
      <c r="K63" s="40"/>
    </row>
    <row r="64" spans="3:11">
      <c r="C64" s="40" t="s">
        <v>808</v>
      </c>
      <c r="D64" s="43" t="s">
        <v>784</v>
      </c>
      <c r="E64" s="44">
        <f>+G64/F64</f>
        <v>746.00006539848118</v>
      </c>
      <c r="F64" s="45">
        <f>+D9</f>
        <v>7339.62</v>
      </c>
      <c r="G64" s="175">
        <f>'Balance Gral 2022'!B75</f>
        <v>5475357</v>
      </c>
      <c r="H64" s="43" t="s">
        <v>784</v>
      </c>
      <c r="I64" s="44">
        <v>0</v>
      </c>
      <c r="J64" s="45">
        <v>6941.65</v>
      </c>
      <c r="K64" s="44">
        <v>0</v>
      </c>
    </row>
    <row r="65" spans="3:11">
      <c r="C65" s="40" t="s">
        <v>809</v>
      </c>
      <c r="D65" s="43" t="s">
        <v>784</v>
      </c>
      <c r="E65" s="44">
        <f>+G65/F65</f>
        <v>38016.919949534175</v>
      </c>
      <c r="F65" s="45">
        <f>+F64</f>
        <v>7339.62</v>
      </c>
      <c r="G65" s="175">
        <f>Tabla1[[#This Row],[30/09/2022]]</f>
        <v>279029746</v>
      </c>
      <c r="H65" s="43" t="s">
        <v>784</v>
      </c>
      <c r="I65" s="44">
        <v>0</v>
      </c>
      <c r="J65" s="45">
        <v>6941.65</v>
      </c>
      <c r="K65" s="44">
        <v>0</v>
      </c>
    </row>
    <row r="66" spans="3:11">
      <c r="C66" s="40" t="s">
        <v>810</v>
      </c>
      <c r="D66" s="43" t="s">
        <v>784</v>
      </c>
      <c r="E66" s="44">
        <v>0</v>
      </c>
      <c r="F66" s="45">
        <f t="shared" ref="F66:F86" si="2">+F65</f>
        <v>7339.62</v>
      </c>
      <c r="G66" s="45">
        <v>0</v>
      </c>
      <c r="H66" s="43" t="s">
        <v>784</v>
      </c>
      <c r="I66" s="44">
        <v>0</v>
      </c>
      <c r="J66" s="45">
        <v>6941.65</v>
      </c>
      <c r="K66" s="44">
        <v>0</v>
      </c>
    </row>
    <row r="67" spans="3:11">
      <c r="C67" s="40" t="s">
        <v>811</v>
      </c>
      <c r="D67" s="43" t="s">
        <v>784</v>
      </c>
      <c r="E67" s="44">
        <v>0</v>
      </c>
      <c r="F67" s="45">
        <f t="shared" si="2"/>
        <v>7339.62</v>
      </c>
      <c r="G67" s="45">
        <v>0</v>
      </c>
      <c r="H67" s="43" t="s">
        <v>784</v>
      </c>
      <c r="I67" s="44">
        <v>0</v>
      </c>
      <c r="J67" s="45">
        <v>6941.65</v>
      </c>
      <c r="K67" s="44">
        <v>0</v>
      </c>
    </row>
    <row r="68" spans="3:11">
      <c r="C68" s="39" t="s">
        <v>812</v>
      </c>
      <c r="D68" s="40"/>
      <c r="E68" s="44"/>
      <c r="F68" s="45">
        <f t="shared" si="2"/>
        <v>7339.62</v>
      </c>
      <c r="G68" s="45"/>
      <c r="H68" s="40"/>
      <c r="I68" s="44"/>
      <c r="J68" s="45">
        <v>6941.65</v>
      </c>
      <c r="K68" s="44"/>
    </row>
    <row r="69" spans="3:11">
      <c r="C69" s="40" t="s">
        <v>813</v>
      </c>
      <c r="D69" s="43" t="s">
        <v>784</v>
      </c>
      <c r="E69" s="44">
        <v>0</v>
      </c>
      <c r="F69" s="45">
        <f t="shared" si="2"/>
        <v>7339.62</v>
      </c>
      <c r="G69" s="45">
        <v>0</v>
      </c>
      <c r="H69" s="43" t="s">
        <v>784</v>
      </c>
      <c r="I69" s="44">
        <v>0</v>
      </c>
      <c r="J69" s="45">
        <v>6941.65</v>
      </c>
      <c r="K69" s="44">
        <v>0</v>
      </c>
    </row>
    <row r="70" spans="3:11">
      <c r="C70" s="40" t="s">
        <v>814</v>
      </c>
      <c r="D70" s="43" t="s">
        <v>784</v>
      </c>
      <c r="E70" s="51">
        <v>0</v>
      </c>
      <c r="F70" s="45">
        <f t="shared" si="2"/>
        <v>7339.62</v>
      </c>
      <c r="G70" s="45">
        <v>0</v>
      </c>
      <c r="H70" s="43" t="s">
        <v>784</v>
      </c>
      <c r="I70" s="44">
        <v>0</v>
      </c>
      <c r="J70" s="45">
        <v>6941.65</v>
      </c>
      <c r="K70" s="44">
        <v>0</v>
      </c>
    </row>
    <row r="71" spans="3:11">
      <c r="C71" s="40" t="s">
        <v>406</v>
      </c>
      <c r="D71" s="43" t="s">
        <v>784</v>
      </c>
      <c r="E71" s="44">
        <v>0</v>
      </c>
      <c r="F71" s="45">
        <f t="shared" si="2"/>
        <v>7339.62</v>
      </c>
      <c r="G71" s="45">
        <v>0</v>
      </c>
      <c r="H71" s="43" t="s">
        <v>784</v>
      </c>
      <c r="I71" s="44">
        <v>0</v>
      </c>
      <c r="J71" s="45">
        <v>6941.65</v>
      </c>
      <c r="K71" s="44">
        <v>0</v>
      </c>
    </row>
    <row r="72" spans="3:11">
      <c r="C72" s="39" t="s">
        <v>815</v>
      </c>
      <c r="D72" s="40"/>
      <c r="E72" s="44"/>
      <c r="F72" s="45">
        <f t="shared" si="2"/>
        <v>7339.62</v>
      </c>
      <c r="G72" s="45"/>
      <c r="H72" s="40"/>
      <c r="I72" s="44"/>
      <c r="J72" s="45">
        <v>6941.65</v>
      </c>
      <c r="K72" s="44"/>
    </row>
    <row r="73" spans="3:11">
      <c r="C73" s="40" t="s">
        <v>816</v>
      </c>
      <c r="D73" s="43" t="s">
        <v>784</v>
      </c>
      <c r="E73" s="44">
        <v>0</v>
      </c>
      <c r="F73" s="45">
        <f t="shared" si="2"/>
        <v>7339.62</v>
      </c>
      <c r="G73" s="45">
        <v>0</v>
      </c>
      <c r="H73" s="43" t="s">
        <v>784</v>
      </c>
      <c r="I73" s="44">
        <v>0</v>
      </c>
      <c r="J73" s="45">
        <v>6941.65</v>
      </c>
      <c r="K73" s="44">
        <v>0</v>
      </c>
    </row>
    <row r="74" spans="3:11">
      <c r="C74" s="40" t="s">
        <v>817</v>
      </c>
      <c r="D74" s="43" t="s">
        <v>784</v>
      </c>
      <c r="E74" s="44">
        <v>0</v>
      </c>
      <c r="F74" s="45">
        <f t="shared" si="2"/>
        <v>7339.62</v>
      </c>
      <c r="G74" s="45">
        <v>0</v>
      </c>
      <c r="H74" s="43" t="s">
        <v>784</v>
      </c>
      <c r="I74" s="44">
        <v>0</v>
      </c>
      <c r="J74" s="45">
        <v>6941.65</v>
      </c>
      <c r="K74" s="44">
        <v>0</v>
      </c>
    </row>
    <row r="75" spans="3:11">
      <c r="C75" s="40" t="s">
        <v>420</v>
      </c>
      <c r="D75" s="43" t="s">
        <v>784</v>
      </c>
      <c r="E75" s="44">
        <v>0</v>
      </c>
      <c r="F75" s="45">
        <f t="shared" si="2"/>
        <v>7339.62</v>
      </c>
      <c r="G75" s="45">
        <v>0</v>
      </c>
      <c r="H75" s="43" t="s">
        <v>784</v>
      </c>
      <c r="I75" s="44">
        <v>0</v>
      </c>
      <c r="J75" s="45">
        <v>6941.65</v>
      </c>
      <c r="K75" s="44">
        <v>0</v>
      </c>
    </row>
    <row r="76" spans="3:11">
      <c r="C76" s="40" t="s">
        <v>437</v>
      </c>
      <c r="D76" s="43" t="s">
        <v>784</v>
      </c>
      <c r="E76" s="44">
        <v>0</v>
      </c>
      <c r="F76" s="45">
        <f t="shared" si="2"/>
        <v>7339.62</v>
      </c>
      <c r="G76" s="45">
        <v>0</v>
      </c>
      <c r="H76" s="43" t="s">
        <v>784</v>
      </c>
      <c r="I76" s="44">
        <v>0</v>
      </c>
      <c r="J76" s="45">
        <v>6941.65</v>
      </c>
      <c r="K76" s="44">
        <v>0</v>
      </c>
    </row>
    <row r="77" spans="3:11">
      <c r="C77" s="40" t="s">
        <v>818</v>
      </c>
      <c r="D77" s="43" t="s">
        <v>784</v>
      </c>
      <c r="E77" s="44">
        <v>0</v>
      </c>
      <c r="F77" s="45">
        <f t="shared" si="2"/>
        <v>7339.62</v>
      </c>
      <c r="G77" s="45">
        <v>0</v>
      </c>
      <c r="H77" s="43" t="s">
        <v>784</v>
      </c>
      <c r="I77" s="44">
        <v>0</v>
      </c>
      <c r="J77" s="45">
        <v>6941.65</v>
      </c>
      <c r="K77" s="44">
        <v>0</v>
      </c>
    </row>
    <row r="78" spans="3:11">
      <c r="C78" s="46" t="s">
        <v>819</v>
      </c>
      <c r="D78" s="50"/>
      <c r="E78" s="44"/>
      <c r="F78" s="45">
        <f t="shared" si="2"/>
        <v>7339.62</v>
      </c>
      <c r="G78" s="45"/>
      <c r="H78" s="50"/>
      <c r="I78" s="44"/>
      <c r="J78" s="45">
        <v>6941.65</v>
      </c>
      <c r="K78" s="44"/>
    </row>
    <row r="79" spans="3:11">
      <c r="C79" s="39" t="s">
        <v>812</v>
      </c>
      <c r="D79" s="40"/>
      <c r="E79" s="44"/>
      <c r="F79" s="45">
        <f t="shared" si="2"/>
        <v>7339.62</v>
      </c>
      <c r="G79" s="45"/>
      <c r="H79" s="40"/>
      <c r="I79" s="44"/>
      <c r="J79" s="45">
        <v>6941.65</v>
      </c>
      <c r="K79" s="44"/>
    </row>
    <row r="80" spans="3:11">
      <c r="C80" s="40" t="s">
        <v>813</v>
      </c>
      <c r="D80" s="43" t="s">
        <v>784</v>
      </c>
      <c r="E80" s="44">
        <v>0</v>
      </c>
      <c r="F80" s="45">
        <f t="shared" si="2"/>
        <v>7339.62</v>
      </c>
      <c r="G80" s="45">
        <v>0</v>
      </c>
      <c r="H80" s="43" t="s">
        <v>784</v>
      </c>
      <c r="I80" s="44">
        <v>0</v>
      </c>
      <c r="J80" s="45">
        <v>6941.65</v>
      </c>
      <c r="K80" s="44">
        <v>0</v>
      </c>
    </row>
    <row r="81" spans="3:11">
      <c r="C81" s="40" t="s">
        <v>814</v>
      </c>
      <c r="D81" s="43" t="s">
        <v>784</v>
      </c>
      <c r="E81" s="44">
        <v>0</v>
      </c>
      <c r="F81" s="45">
        <f t="shared" si="2"/>
        <v>7339.62</v>
      </c>
      <c r="G81" s="45">
        <v>0</v>
      </c>
      <c r="H81" s="43" t="s">
        <v>784</v>
      </c>
      <c r="I81" s="44">
        <v>0</v>
      </c>
      <c r="J81" s="45">
        <v>6941.65</v>
      </c>
      <c r="K81" s="44">
        <v>0</v>
      </c>
    </row>
    <row r="82" spans="3:11">
      <c r="C82" s="39" t="s">
        <v>820</v>
      </c>
      <c r="D82" s="40"/>
      <c r="E82" s="44"/>
      <c r="F82" s="45">
        <f t="shared" si="2"/>
        <v>7339.62</v>
      </c>
      <c r="G82" s="45"/>
      <c r="H82" s="40"/>
      <c r="I82" s="44"/>
      <c r="J82" s="45">
        <v>6941.65</v>
      </c>
      <c r="K82" s="44"/>
    </row>
    <row r="83" spans="3:11">
      <c r="C83" s="40" t="s">
        <v>410</v>
      </c>
      <c r="D83" s="43" t="s">
        <v>784</v>
      </c>
      <c r="E83" s="44">
        <v>0</v>
      </c>
      <c r="F83" s="45">
        <f t="shared" si="2"/>
        <v>7339.62</v>
      </c>
      <c r="G83" s="45">
        <v>0</v>
      </c>
      <c r="H83" s="43" t="s">
        <v>784</v>
      </c>
      <c r="I83" s="44">
        <v>0</v>
      </c>
      <c r="J83" s="45">
        <v>6941.65</v>
      </c>
      <c r="K83" s="44">
        <v>0</v>
      </c>
    </row>
    <row r="84" spans="3:11">
      <c r="C84" s="40" t="s">
        <v>821</v>
      </c>
      <c r="D84" s="43" t="s">
        <v>784</v>
      </c>
      <c r="E84" s="44">
        <v>0</v>
      </c>
      <c r="F84" s="45">
        <f t="shared" si="2"/>
        <v>7339.62</v>
      </c>
      <c r="G84" s="45">
        <v>0</v>
      </c>
      <c r="H84" s="43" t="s">
        <v>784</v>
      </c>
      <c r="I84" s="44">
        <v>0</v>
      </c>
      <c r="J84" s="45">
        <v>6941.65</v>
      </c>
      <c r="K84" s="44">
        <v>0</v>
      </c>
    </row>
    <row r="85" spans="3:11">
      <c r="C85" s="40" t="s">
        <v>822</v>
      </c>
      <c r="D85" s="43" t="s">
        <v>784</v>
      </c>
      <c r="E85" s="44">
        <v>0</v>
      </c>
      <c r="F85" s="45">
        <f t="shared" si="2"/>
        <v>7339.62</v>
      </c>
      <c r="G85" s="45">
        <v>0</v>
      </c>
      <c r="H85" s="43" t="s">
        <v>784</v>
      </c>
      <c r="I85" s="44">
        <v>0</v>
      </c>
      <c r="J85" s="45">
        <v>6941.65</v>
      </c>
      <c r="K85" s="44">
        <v>0</v>
      </c>
    </row>
    <row r="86" spans="3:11">
      <c r="C86" s="40" t="s">
        <v>822</v>
      </c>
      <c r="D86" s="43" t="s">
        <v>784</v>
      </c>
      <c r="E86" s="44">
        <v>0</v>
      </c>
      <c r="F86" s="45">
        <f t="shared" si="2"/>
        <v>7339.62</v>
      </c>
      <c r="G86" s="45">
        <v>0</v>
      </c>
      <c r="H86" s="43" t="s">
        <v>784</v>
      </c>
      <c r="I86" s="44">
        <v>0</v>
      </c>
      <c r="J86" s="45">
        <v>6463.95</v>
      </c>
      <c r="K86" s="44">
        <v>0</v>
      </c>
    </row>
    <row r="89" spans="3:11">
      <c r="C89" s="30" t="s">
        <v>823</v>
      </c>
    </row>
    <row r="91" spans="3:11">
      <c r="C91" s="52"/>
      <c r="D91" s="702" t="str">
        <f>+D7</f>
        <v>Al 31/12/2022</v>
      </c>
      <c r="E91" s="703"/>
      <c r="F91" s="702">
        <f>+E7</f>
        <v>44561</v>
      </c>
      <c r="G91" s="702"/>
      <c r="H91" s="703"/>
    </row>
    <row r="92" spans="3:11" ht="48">
      <c r="C92" s="38" t="s">
        <v>824</v>
      </c>
      <c r="D92" s="53" t="s">
        <v>825</v>
      </c>
      <c r="E92" s="53" t="s">
        <v>826</v>
      </c>
      <c r="F92" s="53" t="s">
        <v>827</v>
      </c>
      <c r="G92" s="53"/>
      <c r="H92" s="53" t="s">
        <v>828</v>
      </c>
    </row>
    <row r="93" spans="3:11" ht="25.5" customHeight="1">
      <c r="C93" s="54" t="s">
        <v>829</v>
      </c>
      <c r="D93" s="55">
        <f>+D8</f>
        <v>7322.9</v>
      </c>
      <c r="E93" s="56">
        <f>-'EERR al 2022'!B80</f>
        <v>28413172</v>
      </c>
      <c r="F93" s="57">
        <v>6793.79</v>
      </c>
      <c r="G93" s="57"/>
      <c r="H93" s="56">
        <v>81047</v>
      </c>
      <c r="I93" s="308"/>
      <c r="J93" s="58"/>
      <c r="K93" s="58"/>
    </row>
    <row r="94" spans="3:11" ht="25.5" customHeight="1">
      <c r="C94" s="54" t="s">
        <v>830</v>
      </c>
      <c r="D94" s="55">
        <f>+D9</f>
        <v>7339.62</v>
      </c>
      <c r="E94" s="56">
        <v>0</v>
      </c>
      <c r="F94" s="57">
        <v>6820.47</v>
      </c>
      <c r="G94" s="57"/>
      <c r="H94" s="56">
        <v>0</v>
      </c>
      <c r="J94" s="103"/>
      <c r="K94" s="103"/>
    </row>
    <row r="95" spans="3:11" ht="25.5" customHeight="1">
      <c r="C95" s="54" t="s">
        <v>831</v>
      </c>
      <c r="D95" s="55">
        <f>+D93</f>
        <v>7322.9</v>
      </c>
      <c r="E95" s="56">
        <f>'EERR al 2022'!B81</f>
        <v>30948759</v>
      </c>
      <c r="F95" s="57">
        <v>6793.79</v>
      </c>
      <c r="G95" s="57"/>
      <c r="H95" s="56">
        <v>27795</v>
      </c>
    </row>
    <row r="96" spans="3:11" ht="25.5" customHeight="1">
      <c r="C96" s="54" t="s">
        <v>832</v>
      </c>
      <c r="D96" s="55">
        <f>+D94</f>
        <v>7339.62</v>
      </c>
      <c r="E96" s="56">
        <v>0</v>
      </c>
      <c r="F96" s="57">
        <v>6820.47</v>
      </c>
      <c r="G96" s="57"/>
      <c r="H96" s="56">
        <v>0</v>
      </c>
    </row>
    <row r="97" spans="3:8">
      <c r="C97" s="52" t="s">
        <v>833</v>
      </c>
      <c r="D97" s="59"/>
      <c r="E97" s="106">
        <f>+E93-E95</f>
        <v>-2535587</v>
      </c>
      <c r="F97" s="106"/>
      <c r="G97" s="106"/>
      <c r="H97" s="106">
        <v>53252</v>
      </c>
    </row>
    <row r="98" spans="3:8">
      <c r="E98" s="309"/>
    </row>
    <row r="99" spans="3:8">
      <c r="E99" s="397">
        <f>'ESTADOS DE RESULTADOS 31 12 22'!E88-'ESTADOS DE RESULTADOS 31 12 22'!E91-E97</f>
        <v>0</v>
      </c>
    </row>
  </sheetData>
  <mergeCells count="2">
    <mergeCell ref="D91:E91"/>
    <mergeCell ref="F91:H9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002060"/>
  </sheetPr>
  <dimension ref="B1:H68"/>
  <sheetViews>
    <sheetView showGridLines="0" topLeftCell="A7" zoomScale="110" zoomScaleNormal="110" workbookViewId="0">
      <selection activeCell="A3" sqref="A3"/>
    </sheetView>
  </sheetViews>
  <sheetFormatPr baseColWidth="10" defaultColWidth="11.42578125" defaultRowHeight="12"/>
  <cols>
    <col min="1" max="1" width="7.28515625" style="28" customWidth="1"/>
    <col min="2" max="2" width="47.7109375" style="28" customWidth="1"/>
    <col min="3" max="3" width="16.28515625" style="60" customWidth="1"/>
    <col min="4" max="4" width="14.140625" style="60" bestFit="1" customWidth="1"/>
    <col min="5" max="5" width="13.42578125" style="28" customWidth="1"/>
    <col min="6" max="6" width="14.42578125" style="42" bestFit="1" customWidth="1"/>
    <col min="7" max="7" width="9.28515625" style="28" bestFit="1" customWidth="1"/>
    <col min="8" max="8" width="7" style="28" bestFit="1" customWidth="1"/>
    <col min="9" max="9" width="12.28515625" style="28" bestFit="1" customWidth="1"/>
    <col min="10" max="16384" width="11.42578125" style="28"/>
  </cols>
  <sheetData>
    <row r="1" spans="2:8" ht="15">
      <c r="B1" s="180"/>
    </row>
    <row r="3" spans="2:8" ht="15">
      <c r="B3" s="372" t="s">
        <v>834</v>
      </c>
    </row>
    <row r="4" spans="2:8" ht="15">
      <c r="B4" s="371"/>
    </row>
    <row r="5" spans="2:8">
      <c r="B5" s="696" t="s">
        <v>835</v>
      </c>
      <c r="C5" s="696"/>
      <c r="D5" s="696"/>
      <c r="F5" s="61"/>
    </row>
    <row r="6" spans="2:8">
      <c r="B6" s="178"/>
      <c r="C6" s="178"/>
      <c r="D6" s="178"/>
      <c r="F6" s="61"/>
    </row>
    <row r="7" spans="2:8">
      <c r="B7" s="62" t="s">
        <v>836</v>
      </c>
      <c r="C7" s="63" t="str">
        <f>+INDICE!I2</f>
        <v>Total al  31/12/2022</v>
      </c>
      <c r="D7" s="64">
        <v>44561</v>
      </c>
      <c r="F7" s="61"/>
    </row>
    <row r="8" spans="2:8">
      <c r="B8" s="65" t="s">
        <v>837</v>
      </c>
      <c r="C8" s="66">
        <v>0</v>
      </c>
      <c r="D8" s="67">
        <v>0</v>
      </c>
      <c r="F8" s="61"/>
    </row>
    <row r="9" spans="2:8">
      <c r="B9" s="65" t="str">
        <f>+'Balance Gral 2022'!A6</f>
        <v>Bancos De Operaciones</v>
      </c>
      <c r="C9" s="72">
        <f>+'Balance Gral 2022'!B6</f>
        <v>323106777</v>
      </c>
      <c r="D9" s="72">
        <v>0</v>
      </c>
      <c r="F9" s="61"/>
    </row>
    <row r="10" spans="2:8" ht="14.25">
      <c r="B10" s="386" t="str">
        <f>+'Balance Gral 2022'!A7</f>
        <v>Bancos Operaciones - Moneda Extranjera</v>
      </c>
      <c r="C10" s="387">
        <f>+'Balance Gral 2022'!B7</f>
        <v>279665652</v>
      </c>
      <c r="D10" s="387">
        <v>0</v>
      </c>
      <c r="F10" s="61"/>
    </row>
    <row r="11" spans="2:8" ht="12.75">
      <c r="B11" s="68" t="str">
        <f>+'Balance Gral 2022'!A8</f>
        <v>Banco Operaciones M/E</v>
      </c>
      <c r="C11" s="385">
        <f>+'Balance Gral 2022'!B8</f>
        <v>279665652</v>
      </c>
      <c r="D11" s="385">
        <v>74630244</v>
      </c>
      <c r="F11" s="330"/>
      <c r="H11" s="71"/>
    </row>
    <row r="12" spans="2:8" ht="15">
      <c r="B12" s="386" t="str">
        <f>+'Balance Gral 2022'!A9</f>
        <v>Bancos Operaciones - Moneda Local</v>
      </c>
      <c r="C12" s="387">
        <f>+'Balance Gral 2022'!B9</f>
        <v>43441126</v>
      </c>
      <c r="D12" s="387">
        <v>1372913</v>
      </c>
      <c r="F12" s="70"/>
      <c r="H12" s="71"/>
    </row>
    <row r="13" spans="2:8" ht="12.75">
      <c r="B13" s="68" t="str">
        <f>+'Balance Gral 2022'!A10</f>
        <v>Banco Operaciones M/L</v>
      </c>
      <c r="C13" s="69">
        <f>+'Balance Gral 2022'!B10</f>
        <v>43441126</v>
      </c>
      <c r="D13" s="69">
        <v>1372913</v>
      </c>
      <c r="F13" s="70"/>
      <c r="H13" s="71"/>
    </row>
    <row r="14" spans="2:8" ht="12.75">
      <c r="B14" s="65" t="str">
        <f>+'Balance Gral 2022'!A11</f>
        <v>Bancos Administrativas</v>
      </c>
      <c r="C14" s="72">
        <f>+'Balance Gral 2022'!B11</f>
        <v>73391397</v>
      </c>
      <c r="D14" s="72">
        <v>73257331</v>
      </c>
      <c r="F14" s="70"/>
      <c r="H14" s="71"/>
    </row>
    <row r="15" spans="2:8" ht="15">
      <c r="B15" s="386" t="str">
        <f>+'Balance Gral 2022'!A12</f>
        <v>Bancos Moneda Extranjera</v>
      </c>
      <c r="C15" s="387">
        <f>+'Balance Gral 2022'!B12</f>
        <v>10984716</v>
      </c>
      <c r="D15" s="387">
        <v>73257331</v>
      </c>
      <c r="F15" s="70"/>
      <c r="H15" s="71"/>
    </row>
    <row r="16" spans="2:8" ht="12.75">
      <c r="B16" s="68" t="str">
        <f>+'Balance Gral 2022'!A13</f>
        <v>Banco Familiar SAECA - M/E</v>
      </c>
      <c r="C16" s="69">
        <f>+'Balance Gral 2022'!B13</f>
        <v>10984716</v>
      </c>
      <c r="D16" s="69">
        <v>38305355</v>
      </c>
      <c r="F16" s="70"/>
      <c r="H16" s="71"/>
    </row>
    <row r="17" spans="2:8" ht="15">
      <c r="B17" s="386" t="str">
        <f>+'Balance Gral 2022'!A14</f>
        <v>Bancos Moneda Local</v>
      </c>
      <c r="C17" s="387">
        <f>+'Balance Gral 2022'!B14</f>
        <v>62406681</v>
      </c>
      <c r="D17" s="387">
        <v>4461522</v>
      </c>
      <c r="F17" s="70"/>
      <c r="H17" s="71"/>
    </row>
    <row r="18" spans="2:8" ht="12.75">
      <c r="B18" s="68" t="s">
        <v>838</v>
      </c>
      <c r="C18" s="69">
        <f>+'Balance Gral 2022'!B15</f>
        <v>2369784</v>
      </c>
      <c r="D18" s="69">
        <v>4461522</v>
      </c>
      <c r="F18" s="70"/>
      <c r="H18" s="71"/>
    </row>
    <row r="19" spans="2:8" ht="15">
      <c r="B19" s="388" t="s">
        <v>839</v>
      </c>
      <c r="C19" s="389">
        <f>+'Balance Gral 2022'!B16</f>
        <v>60036897</v>
      </c>
      <c r="D19" s="389">
        <v>33843833</v>
      </c>
      <c r="F19" s="70"/>
      <c r="H19" s="71"/>
    </row>
    <row r="20" spans="2:8">
      <c r="B20" s="65" t="s">
        <v>840</v>
      </c>
      <c r="C20" s="72">
        <f>+C9+C14</f>
        <v>396498174</v>
      </c>
      <c r="D20" s="72">
        <f>+D11+D16+D9</f>
        <v>112935599</v>
      </c>
      <c r="F20" s="28"/>
    </row>
    <row r="21" spans="2:8">
      <c r="F21" s="28"/>
    </row>
    <row r="22" spans="2:8">
      <c r="C22" s="60">
        <f>+C20-'BALANCE GRAL 31 12 22'!D13</f>
        <v>0</v>
      </c>
      <c r="D22" s="60">
        <f>+D20-'BALANCE GRAL 31 12 22'!E13</f>
        <v>0</v>
      </c>
      <c r="F22" s="28"/>
    </row>
    <row r="23" spans="2:8">
      <c r="B23" s="164" t="s">
        <v>841</v>
      </c>
      <c r="F23" s="28"/>
    </row>
    <row r="24" spans="2:8">
      <c r="F24" s="28"/>
    </row>
    <row r="25" spans="2:8">
      <c r="B25" s="155" t="s">
        <v>842</v>
      </c>
      <c r="F25" s="28"/>
    </row>
    <row r="26" spans="2:8">
      <c r="B26" s="107" t="s">
        <v>843</v>
      </c>
      <c r="C26" s="171" t="s">
        <v>844</v>
      </c>
      <c r="D26" s="451" t="str">
        <f>+C7</f>
        <v>Total al  31/12/2022</v>
      </c>
      <c r="E26" s="451">
        <f>+D7</f>
        <v>44561</v>
      </c>
      <c r="F26" s="28"/>
    </row>
    <row r="27" spans="2:8">
      <c r="B27" s="36" t="s">
        <v>845</v>
      </c>
      <c r="C27" s="56" t="s">
        <v>846</v>
      </c>
      <c r="D27" s="56">
        <v>2163504</v>
      </c>
      <c r="E27" s="56">
        <v>56288945</v>
      </c>
    </row>
    <row r="28" spans="2:8">
      <c r="B28" s="36" t="s">
        <v>847</v>
      </c>
      <c r="C28" s="56">
        <v>700703295</v>
      </c>
      <c r="D28" s="56">
        <v>11544427</v>
      </c>
      <c r="E28" s="56">
        <v>15000000</v>
      </c>
    </row>
    <row r="29" spans="2:8">
      <c r="B29" s="36" t="s">
        <v>848</v>
      </c>
      <c r="C29" s="56">
        <v>230374</v>
      </c>
      <c r="D29" s="56">
        <v>1197500</v>
      </c>
      <c r="E29" s="56">
        <v>1368000</v>
      </c>
    </row>
    <row r="30" spans="2:8">
      <c r="B30" s="36" t="s">
        <v>849</v>
      </c>
      <c r="C30" s="56">
        <v>12325345101</v>
      </c>
      <c r="D30" s="56">
        <v>909719</v>
      </c>
      <c r="E30" s="56">
        <v>0</v>
      </c>
    </row>
    <row r="31" spans="2:8">
      <c r="B31" s="36" t="s">
        <v>850</v>
      </c>
      <c r="C31" s="56">
        <v>1405560</v>
      </c>
      <c r="D31" s="56">
        <v>503330</v>
      </c>
      <c r="E31" s="56">
        <v>500377</v>
      </c>
    </row>
    <row r="32" spans="2:8">
      <c r="B32" s="36" t="s">
        <v>851</v>
      </c>
      <c r="C32" s="56">
        <v>193101131</v>
      </c>
      <c r="D32" s="56">
        <v>26016314</v>
      </c>
      <c r="E32" s="56">
        <v>100010</v>
      </c>
    </row>
    <row r="33" spans="2:5">
      <c r="B33" s="36" t="s">
        <v>852</v>
      </c>
      <c r="C33" s="56">
        <v>131002689</v>
      </c>
      <c r="D33" s="56">
        <v>0</v>
      </c>
      <c r="E33" s="56">
        <v>0</v>
      </c>
    </row>
    <row r="34" spans="2:5">
      <c r="B34" s="36" t="s">
        <v>853</v>
      </c>
      <c r="C34" s="56">
        <v>188634</v>
      </c>
      <c r="D34" s="56">
        <v>101698</v>
      </c>
      <c r="E34" s="56">
        <v>0</v>
      </c>
    </row>
    <row r="35" spans="2:5">
      <c r="B35" s="36" t="s">
        <v>854</v>
      </c>
      <c r="C35" s="56" t="s">
        <v>855</v>
      </c>
      <c r="D35" s="56">
        <v>1004634</v>
      </c>
      <c r="E35" s="56"/>
    </row>
    <row r="36" spans="2:5">
      <c r="B36" s="52" t="s">
        <v>856</v>
      </c>
      <c r="C36" s="171"/>
      <c r="D36" s="106">
        <f>SUM(D27:D35)</f>
        <v>43441126</v>
      </c>
      <c r="E36" s="106">
        <f>SUM(E27:E34)</f>
        <v>73257332</v>
      </c>
    </row>
    <row r="37" spans="2:5">
      <c r="B37" s="155" t="s">
        <v>857</v>
      </c>
      <c r="C37" s="390"/>
      <c r="D37" s="595">
        <f>+D36-'Balance Gral 2022'!F10</f>
        <v>0</v>
      </c>
      <c r="E37" s="595">
        <f>+E36-'Balance Gral 2022'!G10-E36</f>
        <v>0</v>
      </c>
    </row>
    <row r="38" spans="2:5">
      <c r="B38" s="155" t="s">
        <v>858</v>
      </c>
      <c r="C38" s="653" t="s">
        <v>859</v>
      </c>
      <c r="D38" s="654">
        <v>7322.9</v>
      </c>
      <c r="E38" s="243"/>
    </row>
    <row r="39" spans="2:5">
      <c r="B39" s="107" t="s">
        <v>843</v>
      </c>
      <c r="C39" s="171" t="s">
        <v>844</v>
      </c>
      <c r="D39" s="452" t="str">
        <f>+D26</f>
        <v>Total al  31/12/2022</v>
      </c>
      <c r="E39" s="452">
        <f>+E26</f>
        <v>44561</v>
      </c>
    </row>
    <row r="40" spans="2:5">
      <c r="B40" s="36" t="s">
        <v>860</v>
      </c>
      <c r="C40" s="172">
        <f>+D40*$D$38</f>
        <v>250885849.30499998</v>
      </c>
      <c r="D40" s="36">
        <v>34260.449999999997</v>
      </c>
      <c r="E40" s="173">
        <v>0</v>
      </c>
    </row>
    <row r="41" spans="2:5">
      <c r="B41" s="36" t="s">
        <v>861</v>
      </c>
      <c r="C41" s="172">
        <f t="shared" ref="C41:C43" si="0">+D41*$D$38</f>
        <v>19912795.824999999</v>
      </c>
      <c r="D41" s="36">
        <v>2719.25</v>
      </c>
      <c r="E41" s="173">
        <v>100.02</v>
      </c>
    </row>
    <row r="42" spans="2:5">
      <c r="B42" s="36" t="s">
        <v>862</v>
      </c>
      <c r="C42" s="172">
        <f t="shared" si="0"/>
        <v>8134716.6939999992</v>
      </c>
      <c r="D42" s="36">
        <v>1110.8599999999999</v>
      </c>
      <c r="E42" s="173">
        <v>100</v>
      </c>
    </row>
    <row r="43" spans="2:5">
      <c r="B43" s="36" t="s">
        <v>853</v>
      </c>
      <c r="C43" s="172">
        <f t="shared" si="0"/>
        <v>732290</v>
      </c>
      <c r="D43" s="36">
        <v>100</v>
      </c>
      <c r="E43" s="173">
        <v>0</v>
      </c>
    </row>
    <row r="44" spans="2:5">
      <c r="B44" s="52" t="s">
        <v>856</v>
      </c>
      <c r="C44" s="652">
        <f>SUM(C40:C43)</f>
        <v>279665651.824</v>
      </c>
      <c r="D44" s="639">
        <f>SUM(D40:D43)</f>
        <v>38190.559999999998</v>
      </c>
      <c r="E44" s="52">
        <f>SUM(E40:E43)</f>
        <v>200.01999999999998</v>
      </c>
    </row>
    <row r="45" spans="2:5">
      <c r="B45" s="28" t="s">
        <v>857</v>
      </c>
      <c r="D45" s="655">
        <f>+C11-C44</f>
        <v>0.17599999904632568</v>
      </c>
    </row>
    <row r="46" spans="2:5">
      <c r="B46" s="28" t="s">
        <v>857</v>
      </c>
    </row>
    <row r="47" spans="2:5">
      <c r="B47" s="28" t="s">
        <v>857</v>
      </c>
    </row>
    <row r="48" spans="2:5">
      <c r="B48" s="28" t="s">
        <v>857</v>
      </c>
    </row>
    <row r="49" spans="2:2">
      <c r="B49" s="28" t="s">
        <v>857</v>
      </c>
    </row>
    <row r="50" spans="2:2">
      <c r="B50" s="28" t="s">
        <v>857</v>
      </c>
    </row>
    <row r="67" spans="5:5">
      <c r="E67" s="28" t="s">
        <v>857</v>
      </c>
    </row>
    <row r="68" spans="5:5">
      <c r="E68" s="28" t="s">
        <v>857</v>
      </c>
    </row>
  </sheetData>
  <autoFilter ref="B7:D20" xr:uid="{00000000-0001-0000-0700-000000000000}"/>
  <mergeCells count="1">
    <mergeCell ref="B5:D5"/>
  </mergeCells>
  <hyperlinks>
    <hyperlink ref="B3" location="'BALANCE GRAL 30_09_22'!A1" display="d)       Disponibilidades" xr:uid="{83B31589-9BBC-451F-A7E8-85EE38AD545F}"/>
  </hyperlink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74D3-6D10-4ADE-8524-0CAA1A0E8326}">
  <sheetPr>
    <tabColor rgb="FF002060"/>
  </sheetPr>
  <dimension ref="C1:O85"/>
  <sheetViews>
    <sheetView showGridLines="0" topLeftCell="A40" zoomScale="110" zoomScaleNormal="110" workbookViewId="0">
      <selection activeCell="A3" sqref="A3"/>
    </sheetView>
  </sheetViews>
  <sheetFormatPr baseColWidth="10" defaultColWidth="11.42578125" defaultRowHeight="12"/>
  <cols>
    <col min="1" max="1" width="4.42578125" style="28" customWidth="1"/>
    <col min="2" max="2" width="5.7109375" style="28" customWidth="1"/>
    <col min="3" max="3" width="50.140625" style="28" customWidth="1"/>
    <col min="4" max="4" width="15" style="28" bestFit="1" customWidth="1"/>
    <col min="5" max="5" width="19.42578125" style="73" bestFit="1" customWidth="1"/>
    <col min="6" max="7" width="17.42578125" style="73" bestFit="1" customWidth="1"/>
    <col min="8" max="8" width="17.85546875" style="73" bestFit="1" customWidth="1"/>
    <col min="9" max="9" width="16.85546875" style="73" bestFit="1" customWidth="1"/>
    <col min="10" max="10" width="18.42578125" style="73" bestFit="1" customWidth="1"/>
    <col min="11" max="12" width="11.42578125" style="28"/>
    <col min="13" max="15" width="11.42578125" style="42"/>
    <col min="16" max="16384" width="11.42578125" style="28"/>
  </cols>
  <sheetData>
    <row r="1" spans="3:10">
      <c r="C1" s="380"/>
    </row>
    <row r="3" spans="3:10" ht="15">
      <c r="C3" s="372" t="s">
        <v>863</v>
      </c>
    </row>
    <row r="5" spans="3:10">
      <c r="C5" s="707" t="s">
        <v>864</v>
      </c>
      <c r="D5" s="708"/>
      <c r="E5" s="708"/>
      <c r="F5" s="708"/>
      <c r="G5" s="709"/>
      <c r="H5" s="707" t="s">
        <v>865</v>
      </c>
      <c r="I5" s="708"/>
      <c r="J5" s="709"/>
    </row>
    <row r="6" spans="3:10">
      <c r="C6" s="707" t="s">
        <v>866</v>
      </c>
      <c r="D6" s="708"/>
      <c r="E6" s="708"/>
      <c r="F6" s="708"/>
      <c r="G6" s="708"/>
      <c r="H6" s="708"/>
      <c r="I6" s="708"/>
      <c r="J6" s="709"/>
    </row>
    <row r="7" spans="3:10">
      <c r="C7" s="437"/>
      <c r="D7" s="407" t="s">
        <v>867</v>
      </c>
      <c r="E7" s="353" t="s">
        <v>868</v>
      </c>
      <c r="F7" s="353" t="s">
        <v>869</v>
      </c>
      <c r="G7" s="353" t="s">
        <v>869</v>
      </c>
      <c r="H7" s="710" t="s">
        <v>473</v>
      </c>
      <c r="I7" s="710" t="s">
        <v>870</v>
      </c>
      <c r="J7" s="710" t="s">
        <v>871</v>
      </c>
    </row>
    <row r="8" spans="3:10">
      <c r="C8" s="47" t="s">
        <v>872</v>
      </c>
      <c r="D8" s="74" t="s">
        <v>873</v>
      </c>
      <c r="E8" s="408" t="s">
        <v>874</v>
      </c>
      <c r="F8" s="408" t="s">
        <v>875</v>
      </c>
      <c r="G8" s="408" t="s">
        <v>876</v>
      </c>
      <c r="H8" s="711"/>
      <c r="I8" s="711"/>
      <c r="J8" s="711"/>
    </row>
    <row r="9" spans="3:10">
      <c r="C9" s="596" t="s">
        <v>877</v>
      </c>
      <c r="D9" s="597"/>
      <c r="E9" s="598">
        <f>+E23+E10+E26+E30</f>
        <v>8394</v>
      </c>
      <c r="F9" s="598">
        <f>+F23+F10+F26+F30</f>
        <v>8394000000</v>
      </c>
      <c r="G9" s="598">
        <f>+G23+G10+G26+G30</f>
        <v>8400633163.0476189</v>
      </c>
      <c r="H9" s="712"/>
      <c r="I9" s="712"/>
      <c r="J9" s="712"/>
    </row>
    <row r="10" spans="3:10">
      <c r="C10" s="438" t="s">
        <v>878</v>
      </c>
      <c r="D10" s="407"/>
      <c r="E10" s="353">
        <f>SUM(E11:E21)</f>
        <v>894</v>
      </c>
      <c r="F10" s="353">
        <f>SUM(F11:F21)</f>
        <v>894000000</v>
      </c>
      <c r="G10" s="353">
        <f>SUM(G11:G21)</f>
        <v>900633163.04761922</v>
      </c>
      <c r="H10" s="440"/>
      <c r="I10" s="441"/>
      <c r="J10" s="441"/>
    </row>
    <row r="11" spans="3:10">
      <c r="C11" s="48" t="s">
        <v>879</v>
      </c>
      <c r="D11" s="48" t="s">
        <v>880</v>
      </c>
      <c r="E11" s="455">
        <v>361</v>
      </c>
      <c r="F11" s="315">
        <v>361000000</v>
      </c>
      <c r="G11" s="315">
        <v>363378036.22999996</v>
      </c>
      <c r="H11" s="75">
        <v>50700000000</v>
      </c>
      <c r="I11" s="439">
        <v>1601351246</v>
      </c>
      <c r="J11" s="439">
        <v>58766645287</v>
      </c>
    </row>
    <row r="12" spans="3:10">
      <c r="C12" s="48" t="s">
        <v>881</v>
      </c>
      <c r="D12" s="48" t="s">
        <v>880</v>
      </c>
      <c r="E12" s="455">
        <v>269</v>
      </c>
      <c r="F12" s="315">
        <v>269000000</v>
      </c>
      <c r="G12" s="315">
        <v>271213177.98000002</v>
      </c>
      <c r="H12" s="75">
        <v>327245000000</v>
      </c>
      <c r="I12" s="439">
        <v>-60235000000</v>
      </c>
      <c r="J12" s="439">
        <v>569576000000</v>
      </c>
    </row>
    <row r="13" spans="3:10">
      <c r="C13" s="48" t="s">
        <v>882</v>
      </c>
      <c r="D13" s="48" t="s">
        <v>883</v>
      </c>
      <c r="E13" s="455">
        <v>4</v>
      </c>
      <c r="F13" s="315">
        <v>4000000</v>
      </c>
      <c r="G13" s="315">
        <v>4166649.3276190469</v>
      </c>
      <c r="H13" s="75">
        <v>1133000000000</v>
      </c>
      <c r="I13" s="439">
        <v>857069616033</v>
      </c>
      <c r="J13" s="439">
        <v>4508926982331</v>
      </c>
    </row>
    <row r="14" spans="3:10">
      <c r="C14" s="48" t="s">
        <v>884</v>
      </c>
      <c r="D14" s="48" t="s">
        <v>880</v>
      </c>
      <c r="E14" s="455">
        <v>9</v>
      </c>
      <c r="F14" s="315">
        <v>9000000</v>
      </c>
      <c r="G14" s="315">
        <v>9154741.4299999997</v>
      </c>
      <c r="H14" s="75">
        <v>19865952038</v>
      </c>
      <c r="I14" s="439">
        <v>1705754641</v>
      </c>
      <c r="J14" s="439">
        <v>25806725641</v>
      </c>
    </row>
    <row r="15" spans="3:10">
      <c r="C15" s="48" t="s">
        <v>885</v>
      </c>
      <c r="D15" s="48" t="s">
        <v>880</v>
      </c>
      <c r="E15" s="455">
        <v>19</v>
      </c>
      <c r="F15" s="315">
        <v>19000000</v>
      </c>
      <c r="G15" s="315">
        <v>19018906.859999999</v>
      </c>
      <c r="H15" s="75">
        <v>50000000000</v>
      </c>
      <c r="I15" s="439">
        <v>-7842894598</v>
      </c>
      <c r="J15" s="439">
        <v>50448954031</v>
      </c>
    </row>
    <row r="16" spans="3:10">
      <c r="C16" s="48" t="s">
        <v>886</v>
      </c>
      <c r="D16" s="48" t="s">
        <v>880</v>
      </c>
      <c r="E16" s="455">
        <v>175</v>
      </c>
      <c r="F16" s="315">
        <v>175000000</v>
      </c>
      <c r="G16" s="315">
        <v>168106763.94</v>
      </c>
      <c r="H16" s="75">
        <v>360000000000</v>
      </c>
      <c r="I16" s="439">
        <v>-57233979454</v>
      </c>
      <c r="J16" s="439">
        <v>274398135675</v>
      </c>
    </row>
    <row r="17" spans="3:10">
      <c r="C17" s="48" t="s">
        <v>887</v>
      </c>
      <c r="D17" s="48" t="s">
        <v>880</v>
      </c>
      <c r="E17" s="455">
        <v>22</v>
      </c>
      <c r="F17" s="315">
        <v>22000000</v>
      </c>
      <c r="G17" s="315">
        <v>22826681.440000001</v>
      </c>
      <c r="H17" s="75">
        <v>213840000000</v>
      </c>
      <c r="I17" s="439">
        <v>53865575313</v>
      </c>
      <c r="J17" s="439">
        <v>413877448238</v>
      </c>
    </row>
    <row r="18" spans="3:10">
      <c r="C18" s="48" t="s">
        <v>888</v>
      </c>
      <c r="D18" s="48" t="s">
        <v>880</v>
      </c>
      <c r="E18" s="455">
        <v>20</v>
      </c>
      <c r="F18" s="315">
        <v>20000000</v>
      </c>
      <c r="G18" s="315">
        <v>20247901.620000001</v>
      </c>
      <c r="H18" s="75">
        <v>65186000000</v>
      </c>
      <c r="I18" s="439">
        <v>19748251000</v>
      </c>
      <c r="J18" s="439">
        <v>115841034000</v>
      </c>
    </row>
    <row r="19" spans="3:10">
      <c r="C19" s="48" t="s">
        <v>889</v>
      </c>
      <c r="D19" s="48"/>
      <c r="E19" s="455">
        <v>15</v>
      </c>
      <c r="F19" s="315">
        <v>15000000</v>
      </c>
      <c r="G19" s="315">
        <v>15341211.220000001</v>
      </c>
      <c r="H19" s="75">
        <v>50000000000</v>
      </c>
      <c r="I19" s="439">
        <v>5653290492</v>
      </c>
      <c r="J19" s="439">
        <v>94779250853.999985</v>
      </c>
    </row>
    <row r="20" spans="3:10">
      <c r="C20" s="48" t="s">
        <v>890</v>
      </c>
      <c r="D20" s="48"/>
      <c r="E20" s="455"/>
      <c r="F20" s="315"/>
      <c r="G20" s="315">
        <f>7484097-305000-4</f>
        <v>7179093</v>
      </c>
      <c r="H20" s="75"/>
      <c r="I20" s="439"/>
      <c r="J20" s="439"/>
    </row>
    <row r="21" spans="3:10">
      <c r="C21" s="48"/>
      <c r="D21" s="48"/>
      <c r="E21" s="455"/>
      <c r="F21" s="315"/>
      <c r="G21" s="315"/>
      <c r="H21" s="75"/>
      <c r="I21" s="439"/>
      <c r="J21" s="439"/>
    </row>
    <row r="22" spans="3:10">
      <c r="C22" s="48"/>
      <c r="D22" s="48"/>
      <c r="E22" s="455"/>
      <c r="F22" s="315"/>
      <c r="G22" s="315"/>
      <c r="H22" s="75"/>
      <c r="I22" s="439"/>
      <c r="J22" s="439"/>
    </row>
    <row r="23" spans="3:10">
      <c r="C23" s="438" t="s">
        <v>891</v>
      </c>
      <c r="D23" s="407"/>
      <c r="E23" s="353">
        <f>SUM(E24)</f>
        <v>0</v>
      </c>
      <c r="F23" s="353">
        <f t="shared" ref="F23:G23" si="0">SUM(F24)</f>
        <v>0</v>
      </c>
      <c r="G23" s="353">
        <f t="shared" si="0"/>
        <v>0</v>
      </c>
      <c r="H23" s="440"/>
      <c r="I23" s="441"/>
      <c r="J23" s="441"/>
    </row>
    <row r="24" spans="3:10">
      <c r="C24" s="48"/>
      <c r="D24" s="48" t="s">
        <v>892</v>
      </c>
      <c r="E24" s="455"/>
      <c r="F24" s="315"/>
      <c r="G24" s="315"/>
      <c r="H24" s="75"/>
      <c r="I24" s="439"/>
      <c r="J24" s="439"/>
    </row>
    <row r="25" spans="3:10">
      <c r="C25" s="48"/>
      <c r="D25" s="48"/>
      <c r="E25" s="455"/>
      <c r="F25" s="315"/>
      <c r="G25" s="315"/>
      <c r="H25" s="75"/>
      <c r="I25" s="439"/>
      <c r="J25" s="439"/>
    </row>
    <row r="26" spans="3:10">
      <c r="C26" s="656" t="s">
        <v>893</v>
      </c>
      <c r="D26" s="657"/>
      <c r="E26" s="658">
        <f>SUM(E27:E28)</f>
        <v>7500</v>
      </c>
      <c r="F26" s="658">
        <f t="shared" ref="F26:G26" si="1">SUM(F27:F28)</f>
        <v>7500000000</v>
      </c>
      <c r="G26" s="658">
        <f t="shared" si="1"/>
        <v>7500000000</v>
      </c>
      <c r="H26" s="440"/>
      <c r="I26" s="441"/>
      <c r="J26" s="441"/>
    </row>
    <row r="27" spans="3:10">
      <c r="C27" s="48" t="s">
        <v>894</v>
      </c>
      <c r="D27" s="48" t="s">
        <v>880</v>
      </c>
      <c r="E27" s="455">
        <v>5000</v>
      </c>
      <c r="F27" s="315">
        <v>5000000000</v>
      </c>
      <c r="G27" s="315">
        <v>5000000000</v>
      </c>
      <c r="H27" s="77">
        <v>146400000000</v>
      </c>
      <c r="I27" s="77">
        <v>1601351246</v>
      </c>
      <c r="J27" s="77">
        <v>852985000000</v>
      </c>
    </row>
    <row r="28" spans="3:10">
      <c r="C28" s="48" t="s">
        <v>895</v>
      </c>
      <c r="D28" s="48" t="s">
        <v>880</v>
      </c>
      <c r="E28" s="455">
        <v>2500</v>
      </c>
      <c r="F28" s="315">
        <v>2500000000</v>
      </c>
      <c r="G28" s="315">
        <v>2500000000</v>
      </c>
      <c r="H28" s="77">
        <v>327245000000</v>
      </c>
      <c r="I28" s="77">
        <v>-60235000000</v>
      </c>
      <c r="J28" s="77">
        <v>569576000000</v>
      </c>
    </row>
    <row r="29" spans="3:10">
      <c r="C29" s="48"/>
      <c r="D29" s="48"/>
      <c r="E29" s="455"/>
      <c r="F29" s="315"/>
      <c r="G29" s="315"/>
      <c r="H29" s="75"/>
      <c r="I29" s="439"/>
      <c r="J29" s="439"/>
    </row>
    <row r="30" spans="3:10">
      <c r="C30" s="656" t="s">
        <v>896</v>
      </c>
      <c r="D30" s="657"/>
      <c r="E30" s="658"/>
      <c r="F30" s="658">
        <f>+F31</f>
        <v>0</v>
      </c>
      <c r="G30" s="658">
        <f>+G31</f>
        <v>0</v>
      </c>
      <c r="H30" s="77"/>
      <c r="I30" s="77"/>
      <c r="J30" s="77"/>
    </row>
    <row r="31" spans="3:10">
      <c r="C31" s="355" t="s">
        <v>897</v>
      </c>
      <c r="D31" s="355"/>
      <c r="E31" s="391"/>
      <c r="F31" s="356">
        <v>0</v>
      </c>
      <c r="G31" s="356">
        <v>0</v>
      </c>
      <c r="H31" s="77"/>
      <c r="I31" s="77"/>
      <c r="J31" s="77"/>
    </row>
    <row r="32" spans="3:10">
      <c r="C32" s="355"/>
      <c r="D32" s="355"/>
      <c r="E32" s="391"/>
      <c r="F32" s="356"/>
      <c r="G32" s="356"/>
      <c r="H32" s="77"/>
      <c r="I32" s="77"/>
      <c r="J32" s="77"/>
    </row>
    <row r="33" spans="3:10">
      <c r="C33" s="596" t="s">
        <v>898</v>
      </c>
      <c r="D33" s="597"/>
      <c r="E33" s="598">
        <f>SUM(E34:E36)</f>
        <v>40</v>
      </c>
      <c r="F33" s="598">
        <f t="shared" ref="F33:G33" si="2">SUM(F34:F36)</f>
        <v>838000000</v>
      </c>
      <c r="G33" s="598">
        <f t="shared" si="2"/>
        <v>1654838241.332381</v>
      </c>
      <c r="H33" s="440"/>
      <c r="I33" s="441"/>
      <c r="J33" s="441"/>
    </row>
    <row r="34" spans="3:10">
      <c r="C34" s="355" t="s">
        <v>899</v>
      </c>
      <c r="D34" s="355" t="s">
        <v>892</v>
      </c>
      <c r="E34" s="391">
        <v>1</v>
      </c>
      <c r="F34" s="315">
        <v>600000000</v>
      </c>
      <c r="G34" s="315">
        <v>613255072.72000003</v>
      </c>
      <c r="H34" s="77">
        <v>360000000000</v>
      </c>
      <c r="I34" s="77">
        <v>951215917048</v>
      </c>
      <c r="J34" s="77">
        <v>789860180755</v>
      </c>
    </row>
    <row r="35" spans="3:10">
      <c r="C35" s="355" t="s">
        <v>882</v>
      </c>
      <c r="D35" s="355" t="s">
        <v>883</v>
      </c>
      <c r="E35" s="391">
        <v>38</v>
      </c>
      <c r="F35" s="356">
        <v>38000000</v>
      </c>
      <c r="G35" s="356">
        <v>39583168.612380944</v>
      </c>
      <c r="H35" s="77">
        <v>1133000000000</v>
      </c>
      <c r="I35" s="439">
        <v>4508926982331</v>
      </c>
      <c r="J35" s="439">
        <v>22528059291</v>
      </c>
    </row>
    <row r="36" spans="3:10">
      <c r="C36" s="355" t="s">
        <v>900</v>
      </c>
      <c r="D36" s="355" t="s">
        <v>901</v>
      </c>
      <c r="E36" s="391">
        <v>1</v>
      </c>
      <c r="F36" s="356">
        <v>200000000</v>
      </c>
      <c r="G36" s="356">
        <v>1002000000</v>
      </c>
      <c r="H36" s="77"/>
      <c r="I36" s="77"/>
      <c r="J36" s="77"/>
    </row>
    <row r="37" spans="3:10">
      <c r="C37" s="704" t="str">
        <f>INDICE!I2</f>
        <v>Total al  31/12/2022</v>
      </c>
      <c r="D37" s="705"/>
      <c r="E37" s="705"/>
      <c r="F37" s="78">
        <f>+F9+F33</f>
        <v>9232000000</v>
      </c>
      <c r="G37" s="78">
        <f>+G9+G33</f>
        <v>10055471404.379999</v>
      </c>
      <c r="H37" s="442"/>
      <c r="I37" s="443"/>
      <c r="J37" s="443"/>
    </row>
    <row r="38" spans="3:10">
      <c r="C38" s="704" t="str">
        <f>INDICE!J2</f>
        <v>Total al  30/12/2021</v>
      </c>
      <c r="D38" s="705"/>
      <c r="E38" s="705"/>
      <c r="F38" s="80">
        <v>11291000000</v>
      </c>
      <c r="G38" s="80">
        <v>12125381414.809999</v>
      </c>
      <c r="H38" s="444"/>
      <c r="I38" s="85"/>
      <c r="J38" s="85"/>
    </row>
    <row r="39" spans="3:10">
      <c r="C39" s="81"/>
      <c r="D39" s="82"/>
      <c r="E39" s="83"/>
      <c r="F39" s="84"/>
      <c r="G39" s="84">
        <f>+G9-'BALANCE GRAL 31 12 22'!D20</f>
        <v>4.7618865966796875E-2</v>
      </c>
      <c r="H39" s="85"/>
      <c r="I39" s="85"/>
      <c r="J39" s="85"/>
    </row>
    <row r="40" spans="3:10">
      <c r="C40" s="86"/>
      <c r="D40" s="87"/>
      <c r="E40" s="88"/>
      <c r="F40" s="84"/>
      <c r="G40" s="88">
        <f>+G33-'BALANCE GRAL 31 12 22'!D47</f>
        <v>0.33238101005554199</v>
      </c>
      <c r="H40" s="88"/>
      <c r="I40" s="88"/>
      <c r="J40" s="88"/>
    </row>
    <row r="41" spans="3:10" ht="12.75" thickBot="1">
      <c r="C41" s="86"/>
      <c r="D41" s="87"/>
      <c r="E41" s="88"/>
      <c r="F41" s="84"/>
      <c r="G41" s="88"/>
      <c r="H41" s="88"/>
      <c r="I41" s="88"/>
      <c r="J41" s="88"/>
    </row>
    <row r="42" spans="3:10" ht="24">
      <c r="C42" s="602" t="s">
        <v>595</v>
      </c>
      <c r="D42" s="603" t="s">
        <v>902</v>
      </c>
      <c r="E42" s="603" t="s">
        <v>903</v>
      </c>
      <c r="F42" s="603" t="s">
        <v>904</v>
      </c>
      <c r="G42" s="603" t="s">
        <v>905</v>
      </c>
      <c r="H42" s="88"/>
      <c r="I42" s="88"/>
      <c r="J42" s="88"/>
    </row>
    <row r="43" spans="3:10">
      <c r="C43" s="47" t="s">
        <v>906</v>
      </c>
      <c r="D43" s="446"/>
      <c r="E43" s="456"/>
      <c r="F43" s="447"/>
      <c r="G43" s="604"/>
    </row>
    <row r="44" spans="3:10">
      <c r="C44" s="360" t="s">
        <v>907</v>
      </c>
      <c r="D44" s="445">
        <f>SUM(D45:D56)</f>
        <v>8389109666</v>
      </c>
      <c r="E44" s="445">
        <f>SUM(E45:E56)</f>
        <v>8400938163.0476189</v>
      </c>
      <c r="F44" s="445">
        <f>SUM(F45:F56)</f>
        <v>11000000</v>
      </c>
      <c r="G44" s="445">
        <f>SUM(G45:G56)</f>
        <v>8095982163.333333</v>
      </c>
    </row>
    <row r="45" spans="3:10">
      <c r="C45" s="48" t="s">
        <v>879</v>
      </c>
      <c r="D45" s="357">
        <v>361000000</v>
      </c>
      <c r="E45" s="391">
        <v>363378036.22999996</v>
      </c>
      <c r="F45" s="358">
        <v>1000000</v>
      </c>
      <c r="G45" s="358">
        <v>364420595.33333337</v>
      </c>
    </row>
    <row r="46" spans="3:10">
      <c r="C46" s="48" t="s">
        <v>881</v>
      </c>
      <c r="D46" s="357">
        <v>270547060</v>
      </c>
      <c r="E46" s="391">
        <v>271213177.98000002</v>
      </c>
      <c r="F46" s="358">
        <v>1000000</v>
      </c>
      <c r="G46" s="358">
        <v>267205097.5</v>
      </c>
    </row>
    <row r="47" spans="3:10">
      <c r="C47" s="48" t="s">
        <v>882</v>
      </c>
      <c r="D47" s="391">
        <v>4046100</v>
      </c>
      <c r="E47" s="391">
        <v>4166649.3276190469</v>
      </c>
      <c r="F47" s="358">
        <v>1000000</v>
      </c>
      <c r="G47" s="358">
        <v>4102816</v>
      </c>
    </row>
    <row r="48" spans="3:10">
      <c r="C48" s="48" t="s">
        <v>884</v>
      </c>
      <c r="D48" s="391">
        <v>9100494</v>
      </c>
      <c r="E48" s="391">
        <v>9154741.4299999997</v>
      </c>
      <c r="F48" s="358">
        <v>1000000</v>
      </c>
      <c r="G48" s="358">
        <v>9055422</v>
      </c>
    </row>
    <row r="49" spans="3:7">
      <c r="C49" s="48" t="s">
        <v>885</v>
      </c>
      <c r="D49" s="357">
        <v>19000016</v>
      </c>
      <c r="E49" s="391">
        <v>19018906.859999999</v>
      </c>
      <c r="F49" s="358">
        <v>1000000</v>
      </c>
      <c r="G49" s="358">
        <v>19506407</v>
      </c>
    </row>
    <row r="50" spans="3:7">
      <c r="C50" s="355" t="s">
        <v>886</v>
      </c>
      <c r="D50" s="357">
        <v>167494525</v>
      </c>
      <c r="E50" s="391">
        <v>168106763.94</v>
      </c>
      <c r="F50" s="358">
        <v>1000000</v>
      </c>
      <c r="G50" s="358">
        <v>167334562.5</v>
      </c>
    </row>
    <row r="51" spans="3:7">
      <c r="C51" s="355" t="s">
        <v>887</v>
      </c>
      <c r="D51" s="357">
        <v>22616471</v>
      </c>
      <c r="E51" s="391">
        <v>22826681.440000001</v>
      </c>
      <c r="F51" s="358">
        <v>1000000</v>
      </c>
      <c r="G51" s="358">
        <v>22135608</v>
      </c>
    </row>
    <row r="52" spans="3:7">
      <c r="C52" s="355" t="s">
        <v>888</v>
      </c>
      <c r="D52" s="357">
        <v>20000000</v>
      </c>
      <c r="E52" s="391">
        <v>20247901.620000001</v>
      </c>
      <c r="F52" s="358">
        <v>1000000</v>
      </c>
      <c r="G52" s="358">
        <v>20347100</v>
      </c>
    </row>
    <row r="53" spans="3:7">
      <c r="C53" s="355" t="s">
        <v>889</v>
      </c>
      <c r="D53" s="357">
        <v>15000000</v>
      </c>
      <c r="E53" s="391">
        <v>15341211.220000001</v>
      </c>
      <c r="F53" s="358">
        <v>1000000</v>
      </c>
      <c r="G53" s="358">
        <v>15324555</v>
      </c>
    </row>
    <row r="54" spans="3:7">
      <c r="C54" s="355" t="s">
        <v>908</v>
      </c>
      <c r="D54" s="357">
        <v>5000305000</v>
      </c>
      <c r="E54" s="391">
        <v>5000305000</v>
      </c>
      <c r="F54" s="358">
        <v>1000000</v>
      </c>
      <c r="G54" s="358">
        <v>4927330000</v>
      </c>
    </row>
    <row r="55" spans="3:7">
      <c r="C55" s="355" t="s">
        <v>909</v>
      </c>
      <c r="D55" s="357">
        <v>2500000000</v>
      </c>
      <c r="E55" s="391">
        <v>2500000000</v>
      </c>
      <c r="F55" s="358">
        <v>1000000</v>
      </c>
      <c r="G55" s="358">
        <v>2279220000</v>
      </c>
    </row>
    <row r="56" spans="3:7">
      <c r="C56" s="355" t="s">
        <v>890</v>
      </c>
      <c r="D56" s="357"/>
      <c r="E56" s="391">
        <v>7179093</v>
      </c>
      <c r="F56" s="358"/>
      <c r="G56" s="358"/>
    </row>
    <row r="57" spans="3:7">
      <c r="C57" s="355"/>
      <c r="D57" s="599"/>
      <c r="E57" s="600"/>
      <c r="F57" s="601"/>
      <c r="G57" s="605"/>
    </row>
    <row r="58" spans="3:7">
      <c r="C58" s="360" t="s">
        <v>910</v>
      </c>
      <c r="D58" s="446"/>
      <c r="E58" s="456"/>
      <c r="F58" s="447"/>
      <c r="G58" s="604"/>
    </row>
    <row r="59" spans="3:7">
      <c r="C59" s="360" t="s">
        <v>907</v>
      </c>
      <c r="D59" s="445">
        <f>SUM(D60:D62)</f>
        <v>1640437950</v>
      </c>
      <c r="E59" s="445">
        <f t="shared" ref="E59:F59" si="3">SUM(E60:E62)</f>
        <v>1654838241.332381</v>
      </c>
      <c r="F59" s="445">
        <f t="shared" si="3"/>
        <v>801000000</v>
      </c>
      <c r="G59" s="445">
        <f>SUM(G60:G62)</f>
        <v>1654231824.72</v>
      </c>
    </row>
    <row r="60" spans="3:7">
      <c r="C60" s="355" t="s">
        <v>899</v>
      </c>
      <c r="D60" s="357">
        <v>600000000</v>
      </c>
      <c r="E60" s="391">
        <v>613255072.72000003</v>
      </c>
      <c r="F60" s="358">
        <v>600000000</v>
      </c>
      <c r="G60" s="358">
        <v>613255072.72000003</v>
      </c>
    </row>
    <row r="61" spans="3:7">
      <c r="C61" s="355" t="s">
        <v>882</v>
      </c>
      <c r="D61" s="357">
        <v>38437950</v>
      </c>
      <c r="E61" s="391">
        <v>39583168.612380944</v>
      </c>
      <c r="F61" s="358">
        <v>1000000</v>
      </c>
      <c r="G61" s="358">
        <v>38976752</v>
      </c>
    </row>
    <row r="62" spans="3:7">
      <c r="C62" s="355" t="s">
        <v>900</v>
      </c>
      <c r="D62" s="357">
        <v>1002000000</v>
      </c>
      <c r="E62" s="391">
        <v>1002000000</v>
      </c>
      <c r="F62" s="358">
        <v>200000000</v>
      </c>
      <c r="G62" s="358">
        <v>1002000000</v>
      </c>
    </row>
    <row r="63" spans="3:7">
      <c r="C63" s="89" t="str">
        <f>+C37</f>
        <v>Total al  31/12/2022</v>
      </c>
      <c r="D63" s="359">
        <f>+D44+D59</f>
        <v>10029547616</v>
      </c>
      <c r="E63" s="359">
        <f>+E44+E59</f>
        <v>10055776404.379999</v>
      </c>
      <c r="F63" s="359">
        <f>+F44+F59</f>
        <v>812000000</v>
      </c>
      <c r="G63" s="359">
        <f>+G44+G59</f>
        <v>9750213988.0533333</v>
      </c>
    </row>
    <row r="64" spans="3:7">
      <c r="C64" s="79" t="s">
        <v>911</v>
      </c>
      <c r="D64" s="445">
        <v>11104207090</v>
      </c>
      <c r="E64" s="457">
        <v>11225381414.809999</v>
      </c>
      <c r="F64" s="450">
        <v>606000000</v>
      </c>
      <c r="G64" s="450">
        <v>600000613.59149992</v>
      </c>
    </row>
    <row r="67" spans="3:10" ht="12.75" thickBot="1">
      <c r="C67" s="362" t="s">
        <v>912</v>
      </c>
      <c r="D67" s="363" t="s">
        <v>913</v>
      </c>
      <c r="E67" s="364" t="s">
        <v>914</v>
      </c>
      <c r="F67" s="379"/>
    </row>
    <row r="68" spans="3:10">
      <c r="C68" s="448" t="s">
        <v>915</v>
      </c>
      <c r="D68" s="357">
        <v>200000000</v>
      </c>
      <c r="E68" s="391">
        <v>1002000000</v>
      </c>
      <c r="F68" s="361"/>
    </row>
    <row r="69" spans="3:10">
      <c r="C69" s="89" t="str">
        <f>+C63</f>
        <v>Total al  31/12/2022</v>
      </c>
      <c r="D69" s="359">
        <f>+D68</f>
        <v>200000000</v>
      </c>
      <c r="E69" s="359">
        <f>+E68</f>
        <v>1002000000</v>
      </c>
    </row>
    <row r="70" spans="3:10">
      <c r="C70" s="79" t="s">
        <v>911</v>
      </c>
      <c r="D70" s="445">
        <v>200000000</v>
      </c>
      <c r="E70" s="457">
        <v>900000000</v>
      </c>
    </row>
    <row r="72" spans="3:10">
      <c r="H72" s="378"/>
      <c r="I72" s="378"/>
      <c r="J72" s="378"/>
    </row>
    <row r="73" spans="3:10" ht="12.75">
      <c r="C73" s="458"/>
      <c r="H73" s="459"/>
      <c r="I73" s="460"/>
      <c r="J73" s="378"/>
    </row>
    <row r="74" spans="3:10">
      <c r="H74" s="706"/>
      <c r="I74" s="706"/>
      <c r="J74" s="706"/>
    </row>
    <row r="75" spans="3:10">
      <c r="H75" s="449"/>
      <c r="I75" s="449"/>
      <c r="J75" s="449"/>
    </row>
    <row r="76" spans="3:10">
      <c r="H76" s="378"/>
      <c r="I76" s="378"/>
      <c r="J76" s="378"/>
    </row>
    <row r="77" spans="3:10">
      <c r="H77" s="378"/>
      <c r="I77" s="378"/>
      <c r="J77" s="378"/>
    </row>
    <row r="85" spans="9:10">
      <c r="I85" s="28"/>
      <c r="J85" s="28"/>
    </row>
  </sheetData>
  <autoFilter ref="C7:G38" xr:uid="{5017627D-B59A-4FF1-98C9-A54E6C099614}"/>
  <mergeCells count="9">
    <mergeCell ref="C37:E37"/>
    <mergeCell ref="C38:E38"/>
    <mergeCell ref="H74:J74"/>
    <mergeCell ref="C5:G5"/>
    <mergeCell ref="H5:J5"/>
    <mergeCell ref="C6:J6"/>
    <mergeCell ref="H7:H9"/>
    <mergeCell ref="I7:I9"/>
    <mergeCell ref="J7:J9"/>
  </mergeCells>
  <hyperlinks>
    <hyperlink ref="C3" location="'BALANCE GRAL 30_09_22'!A1" display="e)   Inversiones  Temporales y Permanentes" xr:uid="{3219745F-FEF6-4A63-8E69-CC742E32731E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9667-0DC1-4465-B011-682B38C9428D}">
  <sheetPr>
    <tabColor rgb="FF002060"/>
  </sheetPr>
  <dimension ref="B1:H46"/>
  <sheetViews>
    <sheetView showGridLines="0" topLeftCell="A5" zoomScale="110" zoomScaleNormal="110" workbookViewId="0">
      <selection activeCell="A3" sqref="A3"/>
    </sheetView>
  </sheetViews>
  <sheetFormatPr baseColWidth="10" defaultColWidth="67.42578125" defaultRowHeight="12"/>
  <cols>
    <col min="1" max="1" width="5.28515625" style="28" customWidth="1"/>
    <col min="2" max="2" width="44" style="28" customWidth="1"/>
    <col min="3" max="3" width="17.7109375" style="92" bestFit="1" customWidth="1"/>
    <col min="4" max="4" width="21.42578125" style="92" bestFit="1" customWidth="1"/>
    <col min="5" max="5" width="10.85546875" style="28" bestFit="1" customWidth="1"/>
    <col min="6" max="6" width="13.7109375" style="28" bestFit="1" customWidth="1"/>
    <col min="7" max="7" width="22.140625" style="28" bestFit="1" customWidth="1"/>
    <col min="8" max="8" width="26" style="28" customWidth="1"/>
    <col min="9" max="16384" width="67.42578125" style="28"/>
  </cols>
  <sheetData>
    <row r="1" spans="2:8" ht="31.35" customHeight="1"/>
    <row r="3" spans="2:8" ht="15">
      <c r="B3" s="372" t="s">
        <v>916</v>
      </c>
    </row>
    <row r="4" spans="2:8">
      <c r="B4" s="31"/>
    </row>
    <row r="5" spans="2:8">
      <c r="B5" s="713" t="s">
        <v>917</v>
      </c>
      <c r="C5" s="713"/>
      <c r="D5" s="713"/>
    </row>
    <row r="7" spans="2:8">
      <c r="B7" s="703" t="s">
        <v>626</v>
      </c>
      <c r="C7" s="703"/>
      <c r="D7" s="703"/>
    </row>
    <row r="8" spans="2:8">
      <c r="B8" s="714" t="s">
        <v>918</v>
      </c>
      <c r="C8" s="715"/>
      <c r="D8" s="716"/>
    </row>
    <row r="9" spans="2:8">
      <c r="B9" s="38" t="s">
        <v>824</v>
      </c>
      <c r="C9" s="374" t="s">
        <v>919</v>
      </c>
      <c r="D9" s="374" t="s">
        <v>920</v>
      </c>
      <c r="E9" s="399"/>
      <c r="F9" s="399"/>
      <c r="G9" s="399"/>
      <c r="H9" s="399"/>
    </row>
    <row r="10" spans="2:8">
      <c r="B10" s="400" t="s">
        <v>921</v>
      </c>
      <c r="C10" s="93">
        <f>+'Balance Gral 2022'!B31</f>
        <v>9707200</v>
      </c>
      <c r="D10" s="93">
        <v>0</v>
      </c>
    </row>
    <row r="11" spans="2:8">
      <c r="B11" s="400" t="s">
        <v>922</v>
      </c>
      <c r="C11" s="93">
        <f>+'Balance Gral 2022'!B32</f>
        <v>6935519</v>
      </c>
      <c r="D11" s="93">
        <v>0</v>
      </c>
    </row>
    <row r="12" spans="2:8">
      <c r="B12" s="109" t="str">
        <f>+'NOTA E - INVERSIONES'!C63</f>
        <v>Total al  31/12/2022</v>
      </c>
      <c r="C12" s="94">
        <f>SUM(C10:C11)</f>
        <v>16642719</v>
      </c>
      <c r="D12" s="94">
        <f>SUM(D10:D11)</f>
        <v>0</v>
      </c>
      <c r="E12" s="95"/>
      <c r="F12" s="103"/>
    </row>
    <row r="13" spans="2:8">
      <c r="B13" s="109" t="str">
        <f>+'NOTA E - INVERSIONES'!C64</f>
        <v>Total al 31/12/2021</v>
      </c>
      <c r="C13" s="94">
        <v>16074000</v>
      </c>
      <c r="D13" s="94">
        <v>0</v>
      </c>
    </row>
    <row r="14" spans="2:8">
      <c r="B14" s="375"/>
      <c r="C14" s="96"/>
      <c r="D14" s="96"/>
      <c r="F14" s="103"/>
    </row>
    <row r="15" spans="2:8">
      <c r="B15" s="703" t="s">
        <v>415</v>
      </c>
      <c r="C15" s="703"/>
      <c r="D15" s="703"/>
    </row>
    <row r="16" spans="2:8">
      <c r="B16" s="714" t="s">
        <v>918</v>
      </c>
      <c r="C16" s="715"/>
      <c r="D16" s="716"/>
    </row>
    <row r="17" spans="2:7">
      <c r="B17" s="38" t="s">
        <v>824</v>
      </c>
      <c r="C17" s="374" t="s">
        <v>919</v>
      </c>
      <c r="D17" s="374" t="s">
        <v>920</v>
      </c>
    </row>
    <row r="18" spans="2:7">
      <c r="B18" s="400" t="s">
        <v>923</v>
      </c>
      <c r="C18" s="365">
        <f>+'Balance Gral 2022'!B36</f>
        <v>15000000</v>
      </c>
      <c r="D18" s="374"/>
    </row>
    <row r="19" spans="2:7">
      <c r="B19" s="400" t="s">
        <v>924</v>
      </c>
      <c r="C19" s="93">
        <f>'Balance Gral 2022'!B35</f>
        <v>65175613</v>
      </c>
      <c r="D19" s="93">
        <v>0</v>
      </c>
      <c r="E19" s="103"/>
    </row>
    <row r="20" spans="2:7">
      <c r="B20" s="109" t="str">
        <f>+B12</f>
        <v>Total al  31/12/2022</v>
      </c>
      <c r="C20" s="94">
        <f>SUM(C18:C19)</f>
        <v>80175613</v>
      </c>
      <c r="D20" s="93">
        <v>0</v>
      </c>
      <c r="G20" s="97"/>
    </row>
    <row r="21" spans="2:7">
      <c r="B21" s="109" t="str">
        <f>+B13</f>
        <v>Total al 31/12/2021</v>
      </c>
      <c r="C21" s="94">
        <v>25480071</v>
      </c>
      <c r="D21" s="93">
        <v>0</v>
      </c>
    </row>
    <row r="22" spans="2:7">
      <c r="B22" s="98"/>
    </row>
    <row r="23" spans="2:7">
      <c r="B23" s="703" t="s">
        <v>421</v>
      </c>
      <c r="C23" s="703"/>
      <c r="D23" s="703"/>
    </row>
    <row r="24" spans="2:7">
      <c r="B24" s="714" t="s">
        <v>918</v>
      </c>
      <c r="C24" s="715"/>
      <c r="D24" s="716"/>
    </row>
    <row r="25" spans="2:7">
      <c r="B25" s="38" t="s">
        <v>824</v>
      </c>
      <c r="C25" s="374" t="s">
        <v>919</v>
      </c>
      <c r="D25" s="374" t="s">
        <v>920</v>
      </c>
    </row>
    <row r="26" spans="2:7">
      <c r="B26" s="400" t="str">
        <f>+B18</f>
        <v>Anticipo a Proveedores Locales - Pago de Servicios</v>
      </c>
      <c r="C26" s="93">
        <v>0</v>
      </c>
      <c r="D26" s="93">
        <v>0</v>
      </c>
    </row>
    <row r="27" spans="2:7">
      <c r="B27" s="400" t="s">
        <v>925</v>
      </c>
      <c r="C27" s="93">
        <v>0</v>
      </c>
      <c r="D27" s="93">
        <v>0</v>
      </c>
    </row>
    <row r="28" spans="2:7">
      <c r="B28" s="400" t="s">
        <v>926</v>
      </c>
      <c r="C28" s="93">
        <f>+'BALANCE GRAL 31 12 22'!D26</f>
        <v>139920000</v>
      </c>
      <c r="D28" s="93">
        <v>0</v>
      </c>
    </row>
    <row r="29" spans="2:7">
      <c r="B29" s="109" t="str">
        <f>+B12</f>
        <v>Total al  31/12/2022</v>
      </c>
      <c r="C29" s="94">
        <f>SUM(C26:C28)</f>
        <v>139920000</v>
      </c>
      <c r="D29" s="93">
        <v>0</v>
      </c>
      <c r="F29" s="28" t="s">
        <v>927</v>
      </c>
    </row>
    <row r="30" spans="2:7">
      <c r="B30" s="109" t="str">
        <f>+B21</f>
        <v>Total al 31/12/2021</v>
      </c>
      <c r="C30" s="94">
        <v>28520000</v>
      </c>
      <c r="D30" s="93">
        <v>0</v>
      </c>
    </row>
    <row r="31" spans="2:7">
      <c r="B31" s="98"/>
    </row>
    <row r="32" spans="2:7">
      <c r="B32" s="98"/>
      <c r="C32" s="92">
        <f>+C29+C20+C12-'BALANCE GRAL 31 12 22'!D29</f>
        <v>0</v>
      </c>
      <c r="F32" s="58"/>
    </row>
    <row r="33" spans="2:8">
      <c r="B33" s="98"/>
    </row>
    <row r="34" spans="2:8">
      <c r="B34" s="703" t="s">
        <v>928</v>
      </c>
      <c r="C34" s="703"/>
      <c r="D34" s="703"/>
    </row>
    <row r="35" spans="2:8">
      <c r="B35" s="717" t="s">
        <v>872</v>
      </c>
      <c r="C35" s="718" t="s">
        <v>929</v>
      </c>
      <c r="D35" s="718" t="s">
        <v>930</v>
      </c>
      <c r="E35" s="38" t="s">
        <v>869</v>
      </c>
      <c r="F35" s="38" t="s">
        <v>931</v>
      </c>
      <c r="G35" s="717" t="s">
        <v>932</v>
      </c>
      <c r="H35" s="717"/>
    </row>
    <row r="36" spans="2:8">
      <c r="B36" s="717"/>
      <c r="C36" s="718"/>
      <c r="D36" s="718"/>
      <c r="E36" s="38" t="s">
        <v>933</v>
      </c>
      <c r="F36" s="38" t="s">
        <v>934</v>
      </c>
      <c r="G36" s="717"/>
      <c r="H36" s="717"/>
    </row>
    <row r="37" spans="2:8">
      <c r="B37" s="717"/>
      <c r="C37" s="718"/>
      <c r="D37" s="718"/>
      <c r="E37" s="401"/>
      <c r="F37" s="38" t="s">
        <v>935</v>
      </c>
      <c r="G37" s="717"/>
      <c r="H37" s="717"/>
    </row>
    <row r="38" spans="2:8">
      <c r="B38" s="402"/>
      <c r="C38" s="717" t="s">
        <v>936</v>
      </c>
      <c r="D38" s="717"/>
      <c r="E38" s="717"/>
      <c r="F38" s="717"/>
      <c r="G38" s="717"/>
      <c r="H38" s="38"/>
    </row>
    <row r="39" spans="2:8">
      <c r="B39" s="402" t="s">
        <v>937</v>
      </c>
      <c r="C39" s="717"/>
      <c r="D39" s="717"/>
      <c r="E39" s="717"/>
      <c r="F39" s="717"/>
      <c r="G39" s="717"/>
      <c r="H39" s="402"/>
    </row>
    <row r="40" spans="2:8">
      <c r="B40" s="402" t="s">
        <v>938</v>
      </c>
      <c r="C40" s="717"/>
      <c r="D40" s="717"/>
      <c r="E40" s="717"/>
      <c r="F40" s="717"/>
      <c r="G40" s="717"/>
      <c r="H40" s="402"/>
    </row>
    <row r="44" spans="2:8" ht="12.75" thickBot="1"/>
    <row r="45" spans="2:8">
      <c r="B45" s="659" t="str">
        <f>+INDICE!I2</f>
        <v>Total al  31/12/2022</v>
      </c>
      <c r="C45" s="618">
        <f>+C29+C20+C12</f>
        <v>236738332</v>
      </c>
      <c r="D45" s="92">
        <f>+C45-'BALANCE GRAL 31 12 22'!D29</f>
        <v>0</v>
      </c>
    </row>
    <row r="46" spans="2:8" ht="12.75" thickBot="1">
      <c r="B46" s="660" t="str">
        <f>+INDICE!J2</f>
        <v>Total al  30/12/2021</v>
      </c>
      <c r="C46" s="619">
        <f>+C30+C21+C13</f>
        <v>70074071</v>
      </c>
      <c r="D46" s="92">
        <f>+C46-'BALANCE GRAL 31 12 22'!E29</f>
        <v>0</v>
      </c>
    </row>
  </sheetData>
  <mergeCells count="14">
    <mergeCell ref="H35:H37"/>
    <mergeCell ref="C38:G40"/>
    <mergeCell ref="B24:D24"/>
    <mergeCell ref="B34:D34"/>
    <mergeCell ref="B35:B37"/>
    <mergeCell ref="C35:C37"/>
    <mergeCell ref="D35:D37"/>
    <mergeCell ref="G35:G37"/>
    <mergeCell ref="B23:D23"/>
    <mergeCell ref="B5:D5"/>
    <mergeCell ref="B7:D7"/>
    <mergeCell ref="B8:D8"/>
    <mergeCell ref="B15:D15"/>
    <mergeCell ref="B16:D16"/>
  </mergeCells>
  <hyperlinks>
    <hyperlink ref="B3" location="'BALANCE GRAL 30_09_22'!A1" display="f)       Créditos" xr:uid="{2D1E64B5-15B9-4E10-909F-88D2CDF1208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2060"/>
  </sheetPr>
  <dimension ref="B3:Q22"/>
  <sheetViews>
    <sheetView showGridLines="0" topLeftCell="B1" zoomScale="110" zoomScaleNormal="110" workbookViewId="0">
      <pane xSplit="1" ySplit="8" topLeftCell="C9" activePane="bottomRight" state="frozen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11.42578125" defaultRowHeight="12"/>
  <cols>
    <col min="1" max="1" width="2.42578125" style="28" customWidth="1"/>
    <col min="2" max="2" width="23" style="98" customWidth="1"/>
    <col min="3" max="3" width="20.7109375" style="28" bestFit="1" customWidth="1"/>
    <col min="4" max="4" width="14.140625" style="28" bestFit="1" customWidth="1"/>
    <col min="5" max="5" width="11.28515625" style="28" customWidth="1"/>
    <col min="6" max="6" width="10.28515625" style="28" bestFit="1" customWidth="1"/>
    <col min="7" max="7" width="14.42578125" style="28" bestFit="1" customWidth="1"/>
    <col min="8" max="8" width="13" style="28" bestFit="1" customWidth="1"/>
    <col min="9" max="9" width="10.7109375" style="28" bestFit="1" customWidth="1"/>
    <col min="10" max="10" width="7.7109375" style="28" customWidth="1"/>
    <col min="11" max="11" width="9.42578125" style="28" customWidth="1"/>
    <col min="12" max="12" width="13.140625" style="28" bestFit="1" customWidth="1"/>
    <col min="13" max="13" width="14.140625" style="28" bestFit="1" customWidth="1"/>
    <col min="14" max="14" width="10.28515625" style="28" customWidth="1"/>
    <col min="15" max="16384" width="11.42578125" style="28"/>
  </cols>
  <sheetData>
    <row r="3" spans="2:17" s="177" customFormat="1" ht="19.350000000000001" hidden="1" customHeight="1">
      <c r="B3" s="98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606"/>
    </row>
    <row r="4" spans="2:17" ht="15">
      <c r="C4" s="372" t="s">
        <v>939</v>
      </c>
      <c r="N4" s="101"/>
    </row>
    <row r="5" spans="2:17" ht="32.1" customHeight="1">
      <c r="B5" s="713" t="s">
        <v>940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607"/>
      <c r="O5" s="103"/>
    </row>
    <row r="6" spans="2:17">
      <c r="C6" s="99"/>
      <c r="N6" s="101"/>
    </row>
    <row r="7" spans="2:17">
      <c r="B7" s="46"/>
      <c r="C7" s="719" t="s">
        <v>941</v>
      </c>
      <c r="D7" s="720"/>
      <c r="E7" s="720"/>
      <c r="F7" s="720"/>
      <c r="G7" s="721"/>
      <c r="H7" s="719" t="s">
        <v>942</v>
      </c>
      <c r="I7" s="720"/>
      <c r="J7" s="720"/>
      <c r="K7" s="179"/>
      <c r="L7" s="179"/>
      <c r="M7" s="608"/>
      <c r="N7" s="101"/>
    </row>
    <row r="8" spans="2:17" ht="36">
      <c r="B8" s="38" t="s">
        <v>595</v>
      </c>
      <c r="C8" s="100" t="s">
        <v>943</v>
      </c>
      <c r="D8" s="38" t="s">
        <v>944</v>
      </c>
      <c r="E8" s="38" t="s">
        <v>945</v>
      </c>
      <c r="F8" s="38" t="s">
        <v>946</v>
      </c>
      <c r="G8" s="38" t="s">
        <v>947</v>
      </c>
      <c r="H8" s="38" t="s">
        <v>948</v>
      </c>
      <c r="I8" s="38" t="s">
        <v>944</v>
      </c>
      <c r="J8" s="38" t="s">
        <v>945</v>
      </c>
      <c r="K8" s="38" t="s">
        <v>946</v>
      </c>
      <c r="L8" s="38" t="s">
        <v>949</v>
      </c>
      <c r="M8" s="38" t="s">
        <v>950</v>
      </c>
      <c r="N8" s="607"/>
    </row>
    <row r="9" spans="2:17">
      <c r="B9" s="102" t="s">
        <v>951</v>
      </c>
      <c r="C9" s="93">
        <v>0</v>
      </c>
      <c r="D9" s="56">
        <v>0</v>
      </c>
      <c r="E9" s="56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f>+G9-L9</f>
        <v>0</v>
      </c>
      <c r="N9" s="101"/>
      <c r="O9" s="58"/>
      <c r="P9" s="58"/>
    </row>
    <row r="10" spans="2:17">
      <c r="B10" s="104" t="s">
        <v>952</v>
      </c>
      <c r="C10" s="93">
        <v>0</v>
      </c>
      <c r="D10" s="93">
        <v>0</v>
      </c>
      <c r="E10" s="56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f t="shared" ref="M10:M17" si="0">+G10-L10</f>
        <v>0</v>
      </c>
      <c r="N10" s="101"/>
      <c r="O10" s="58"/>
      <c r="P10" s="58"/>
    </row>
    <row r="11" spans="2:17">
      <c r="B11" s="104" t="s">
        <v>953</v>
      </c>
      <c r="C11" s="93">
        <v>0</v>
      </c>
      <c r="D11" s="56">
        <v>0</v>
      </c>
      <c r="E11" s="56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f t="shared" si="0"/>
        <v>0</v>
      </c>
      <c r="N11" s="101"/>
      <c r="O11" s="58"/>
      <c r="P11" s="58"/>
    </row>
    <row r="12" spans="2:17">
      <c r="B12" s="104" t="s">
        <v>954</v>
      </c>
      <c r="C12" s="93">
        <v>0</v>
      </c>
      <c r="D12" s="56">
        <v>0</v>
      </c>
      <c r="E12" s="56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f t="shared" si="0"/>
        <v>0</v>
      </c>
      <c r="N12" s="101"/>
      <c r="O12" s="58"/>
      <c r="P12" s="58"/>
    </row>
    <row r="13" spans="2:17">
      <c r="B13" s="104" t="s">
        <v>955</v>
      </c>
      <c r="C13" s="93">
        <f>'[7]Balance Gral 2022'!$C$55</f>
        <v>5276772</v>
      </c>
      <c r="D13" s="93">
        <f>G13-C13</f>
        <v>7955659</v>
      </c>
      <c r="E13" s="56"/>
      <c r="F13" s="93">
        <v>0</v>
      </c>
      <c r="G13" s="93">
        <f>'Balance Gral 2022'!B55</f>
        <v>13232431</v>
      </c>
      <c r="H13" s="93">
        <v>0</v>
      </c>
      <c r="I13" s="93">
        <f>-'[7]Balance Gral 2022'!$B$56</f>
        <v>949819</v>
      </c>
      <c r="J13" s="93">
        <v>0</v>
      </c>
      <c r="K13" s="93">
        <v>0</v>
      </c>
      <c r="L13" s="93">
        <f>I13</f>
        <v>949819</v>
      </c>
      <c r="M13" s="93">
        <f>+G13-L13</f>
        <v>12282612</v>
      </c>
      <c r="N13" s="101"/>
      <c r="O13" s="58"/>
      <c r="P13" s="58"/>
      <c r="Q13" s="58"/>
    </row>
    <row r="14" spans="2:17">
      <c r="B14" s="104" t="s">
        <v>956</v>
      </c>
      <c r="C14" s="93">
        <v>0</v>
      </c>
      <c r="D14" s="56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f t="shared" si="0"/>
        <v>0</v>
      </c>
      <c r="N14" s="607"/>
      <c r="O14" s="103"/>
      <c r="P14" s="58"/>
    </row>
    <row r="15" spans="2:17">
      <c r="B15" s="104" t="s">
        <v>957</v>
      </c>
      <c r="C15" s="56">
        <v>0</v>
      </c>
      <c r="D15" s="56">
        <v>0</v>
      </c>
      <c r="E15" s="93"/>
      <c r="F15" s="93"/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f>+G15+L15</f>
        <v>0</v>
      </c>
      <c r="N15" s="607"/>
      <c r="O15" s="58"/>
      <c r="P15" s="58"/>
    </row>
    <row r="16" spans="2:17">
      <c r="B16" s="104" t="s">
        <v>958</v>
      </c>
      <c r="C16" s="56">
        <v>0</v>
      </c>
      <c r="D16" s="56">
        <f t="shared" ref="D16" si="1">+G16-C16</f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f>+H16</f>
        <v>0</v>
      </c>
      <c r="K16" s="93">
        <v>0</v>
      </c>
      <c r="L16" s="93">
        <v>0</v>
      </c>
      <c r="M16" s="93">
        <f>+G16+L16</f>
        <v>0</v>
      </c>
      <c r="N16" s="101"/>
      <c r="P16" s="58"/>
    </row>
    <row r="17" spans="2:16">
      <c r="B17" s="104" t="s">
        <v>959</v>
      </c>
      <c r="C17" s="93">
        <v>0</v>
      </c>
      <c r="D17" s="56"/>
      <c r="E17" s="93"/>
      <c r="F17" s="93"/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f t="shared" si="0"/>
        <v>0</v>
      </c>
      <c r="O17" s="58"/>
      <c r="P17" s="58"/>
    </row>
    <row r="18" spans="2:16">
      <c r="B18" s="105" t="str">
        <f>+'NOTA F - CREDITOS'!B29</f>
        <v>Total al  31/12/2022</v>
      </c>
      <c r="C18" s="106">
        <f>SUM(C9:C17)</f>
        <v>5276772</v>
      </c>
      <c r="D18" s="106">
        <f>SUM(D9:D17)</f>
        <v>7955659</v>
      </c>
      <c r="E18" s="93">
        <v>0</v>
      </c>
      <c r="F18" s="93">
        <v>0</v>
      </c>
      <c r="G18" s="94">
        <f>SUM(G9:G17)</f>
        <v>13232431</v>
      </c>
      <c r="H18" s="94">
        <f>SUM(H9:H17)</f>
        <v>0</v>
      </c>
      <c r="I18" s="94">
        <f>SUM(I9:I17)</f>
        <v>949819</v>
      </c>
      <c r="J18" s="93">
        <v>0</v>
      </c>
      <c r="K18" s="93">
        <v>0</v>
      </c>
      <c r="L18" s="94">
        <f>SUM(L9:L17)</f>
        <v>949819</v>
      </c>
      <c r="M18" s="94">
        <f>SUM(M9:M17)</f>
        <v>12282612</v>
      </c>
      <c r="O18" s="58"/>
      <c r="P18" s="58"/>
    </row>
    <row r="19" spans="2:16">
      <c r="B19" s="105" t="str">
        <f>+'NOTA F - CREDITOS'!B30</f>
        <v>Total al 31/12/2021</v>
      </c>
      <c r="C19" s="106">
        <v>0</v>
      </c>
      <c r="D19" s="106">
        <v>5276772</v>
      </c>
      <c r="E19" s="93">
        <v>0</v>
      </c>
      <c r="F19" s="94">
        <v>0</v>
      </c>
      <c r="G19" s="94">
        <v>5276772</v>
      </c>
      <c r="H19" s="94">
        <v>0</v>
      </c>
      <c r="I19" s="94">
        <v>0</v>
      </c>
      <c r="J19" s="93">
        <v>0</v>
      </c>
      <c r="K19" s="93">
        <v>0</v>
      </c>
      <c r="L19" s="94">
        <v>0</v>
      </c>
      <c r="M19" s="94">
        <v>5276772</v>
      </c>
    </row>
    <row r="22" spans="2:16">
      <c r="M22" s="58">
        <f>+M18-'BALANCE GRAL 31 12 22'!D61</f>
        <v>0</v>
      </c>
    </row>
  </sheetData>
  <mergeCells count="3">
    <mergeCell ref="B5:M5"/>
    <mergeCell ref="C7:G7"/>
    <mergeCell ref="H7:J7"/>
  </mergeCells>
  <hyperlinks>
    <hyperlink ref="C4" location="'BALANCE GRAL 30_09_22'!A1" display="g)      Bienes de Uso." xr:uid="{AC234295-59C2-4E74-810A-FA80B622CF4A}"/>
  </hyperlink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002060"/>
  </sheetPr>
  <dimension ref="B3:H17"/>
  <sheetViews>
    <sheetView showGridLines="0" zoomScale="110" zoomScaleNormal="110" workbookViewId="0">
      <selection activeCell="A3" sqref="A3"/>
    </sheetView>
  </sheetViews>
  <sheetFormatPr baseColWidth="10" defaultColWidth="20.140625" defaultRowHeight="12"/>
  <cols>
    <col min="1" max="1" width="6.28515625" style="28" customWidth="1"/>
    <col min="2" max="2" width="23.42578125" style="28" bestFit="1" customWidth="1"/>
    <col min="3" max="3" width="13.42578125" style="28" bestFit="1" customWidth="1"/>
    <col min="4" max="4" width="12.28515625" style="28" bestFit="1" customWidth="1"/>
    <col min="5" max="5" width="16.28515625" style="28" bestFit="1" customWidth="1"/>
    <col min="6" max="6" width="17.7109375" style="28" bestFit="1" customWidth="1"/>
    <col min="7" max="16384" width="20.140625" style="28"/>
  </cols>
  <sheetData>
    <row r="3" spans="2:8" ht="15">
      <c r="B3" s="372" t="s">
        <v>960</v>
      </c>
    </row>
    <row r="4" spans="2:8">
      <c r="B4" s="713" t="s">
        <v>961</v>
      </c>
      <c r="C4" s="713"/>
      <c r="D4" s="713"/>
      <c r="E4" s="713"/>
      <c r="F4" s="713"/>
    </row>
    <row r="6" spans="2:8">
      <c r="B6" s="107" t="s">
        <v>824</v>
      </c>
      <c r="C6" s="107" t="s">
        <v>962</v>
      </c>
      <c r="D6" s="107" t="s">
        <v>963</v>
      </c>
      <c r="E6" s="107" t="s">
        <v>964</v>
      </c>
      <c r="F6" s="107" t="s">
        <v>965</v>
      </c>
    </row>
    <row r="7" spans="2:8">
      <c r="B7" s="36" t="s">
        <v>966</v>
      </c>
      <c r="C7" s="56">
        <v>0</v>
      </c>
      <c r="D7" s="56">
        <v>0</v>
      </c>
      <c r="E7" s="93">
        <v>0</v>
      </c>
      <c r="F7" s="56">
        <f>+C7+D7-E7</f>
        <v>0</v>
      </c>
      <c r="G7" s="58"/>
      <c r="H7" s="103"/>
    </row>
    <row r="8" spans="2:8">
      <c r="B8" s="36" t="s">
        <v>56</v>
      </c>
      <c r="C8" s="56">
        <f>+'BALANCE GRAL 31 12 22'!E32</f>
        <v>337853472</v>
      </c>
      <c r="D8" s="56">
        <v>1000435030</v>
      </c>
      <c r="E8" s="93">
        <v>340182955</v>
      </c>
      <c r="F8" s="56">
        <f>C8+D8-E8</f>
        <v>998105547</v>
      </c>
      <c r="G8" s="108"/>
      <c r="H8" s="76"/>
    </row>
    <row r="9" spans="2:8">
      <c r="B9" s="36" t="s">
        <v>967</v>
      </c>
      <c r="C9" s="56">
        <v>0</v>
      </c>
      <c r="D9" s="56">
        <v>0</v>
      </c>
      <c r="E9" s="93">
        <v>0</v>
      </c>
      <c r="F9" s="56">
        <f>+C9+D9-E9</f>
        <v>0</v>
      </c>
      <c r="G9" s="108"/>
      <c r="H9" s="76"/>
    </row>
    <row r="10" spans="2:8">
      <c r="B10" s="36" t="s">
        <v>968</v>
      </c>
      <c r="C10" s="56">
        <v>0</v>
      </c>
      <c r="D10" s="56">
        <v>0</v>
      </c>
      <c r="E10" s="93">
        <v>0</v>
      </c>
      <c r="F10" s="56">
        <f>+C10+D10-E10</f>
        <v>0</v>
      </c>
      <c r="G10" s="108"/>
      <c r="H10" s="76"/>
    </row>
    <row r="11" spans="2:8">
      <c r="B11" s="109" t="str">
        <f>+'NOTA G BIENES DE USO'!B18</f>
        <v>Total al  31/12/2022</v>
      </c>
      <c r="C11" s="106">
        <f>SUM(C7:C10)</f>
        <v>337853472</v>
      </c>
      <c r="D11" s="106">
        <f t="shared" ref="D11:F11" si="0">SUM(D7:D10)</f>
        <v>1000435030</v>
      </c>
      <c r="E11" s="106">
        <f t="shared" si="0"/>
        <v>340182955</v>
      </c>
      <c r="F11" s="106">
        <f t="shared" si="0"/>
        <v>998105547</v>
      </c>
      <c r="G11" s="103"/>
      <c r="H11" s="103"/>
    </row>
    <row r="12" spans="2:8">
      <c r="B12" s="109" t="str">
        <f>+'NOTA G BIENES DE USO'!B19</f>
        <v>Total al 31/12/2021</v>
      </c>
      <c r="C12" s="106">
        <v>0</v>
      </c>
      <c r="D12" s="106">
        <v>495555277</v>
      </c>
      <c r="E12" s="106">
        <v>157701805</v>
      </c>
      <c r="F12" s="106">
        <v>337853472</v>
      </c>
      <c r="G12" s="103"/>
    </row>
    <row r="14" spans="2:8" ht="12.75">
      <c r="E14" s="278"/>
      <c r="F14" s="58">
        <f>+F11-'BALANCE GRAL 31 12 22'!D36</f>
        <v>0</v>
      </c>
    </row>
    <row r="15" spans="2:8" ht="12.75">
      <c r="E15" s="279"/>
    </row>
    <row r="16" spans="2:8" ht="12.75">
      <c r="E16" s="279"/>
    </row>
    <row r="17" spans="5:5">
      <c r="E17" s="103"/>
    </row>
  </sheetData>
  <mergeCells count="1">
    <mergeCell ref="B4:F4"/>
  </mergeCells>
  <hyperlinks>
    <hyperlink ref="B3" location="'BALANCE GRAL 30_09_22'!A1" display="h)       Cargos Diferidos" xr:uid="{AEF3DEC7-C701-431E-9B45-81F7BB961E29}"/>
  </hyperlink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002060"/>
  </sheetPr>
  <dimension ref="B3:N27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6.85546875" style="28" customWidth="1"/>
    <col min="2" max="2" width="29.42578125" style="28" customWidth="1"/>
    <col min="3" max="3" width="26.42578125" style="28" customWidth="1"/>
    <col min="4" max="4" width="22" style="28" customWidth="1"/>
    <col min="5" max="5" width="11.42578125" style="28"/>
    <col min="6" max="7" width="13.42578125" style="28" bestFit="1" customWidth="1"/>
    <col min="8" max="8" width="12" style="28" bestFit="1" customWidth="1"/>
    <col min="9" max="16384" width="11.42578125" style="28"/>
  </cols>
  <sheetData>
    <row r="3" spans="2:6" ht="15">
      <c r="B3" s="372" t="s">
        <v>969</v>
      </c>
    </row>
    <row r="4" spans="2:6">
      <c r="B4" s="713" t="s">
        <v>970</v>
      </c>
      <c r="C4" s="713"/>
      <c r="D4" s="713"/>
    </row>
    <row r="6" spans="2:6">
      <c r="B6" s="38" t="s">
        <v>971</v>
      </c>
      <c r="C6" s="38" t="s">
        <v>824</v>
      </c>
      <c r="D6" s="111" t="str">
        <f>+'NOTA F - CREDITOS'!B29</f>
        <v>Total al  31/12/2022</v>
      </c>
    </row>
    <row r="7" spans="2:6">
      <c r="B7" s="104" t="s">
        <v>972</v>
      </c>
      <c r="C7" s="104"/>
      <c r="D7" s="165">
        <v>0</v>
      </c>
    </row>
    <row r="8" spans="2:6">
      <c r="B8" s="104" t="s">
        <v>973</v>
      </c>
      <c r="C8" s="104"/>
      <c r="D8" s="114">
        <v>0</v>
      </c>
    </row>
    <row r="9" spans="2:6">
      <c r="B9" s="104" t="s">
        <v>974</v>
      </c>
      <c r="C9" s="104"/>
      <c r="D9" s="114">
        <v>0</v>
      </c>
      <c r="E9" s="103"/>
      <c r="F9" s="103"/>
    </row>
    <row r="10" spans="2:6">
      <c r="B10" s="104" t="s">
        <v>480</v>
      </c>
      <c r="C10" s="104"/>
      <c r="D10" s="114">
        <v>0</v>
      </c>
    </row>
    <row r="11" spans="2:6">
      <c r="B11" s="104" t="s">
        <v>975</v>
      </c>
      <c r="C11" s="104"/>
      <c r="D11" s="114">
        <v>0</v>
      </c>
    </row>
    <row r="12" spans="2:6">
      <c r="B12" s="109" t="str">
        <f>+'NOTA H CARGOS DIFERIDOS'!B11</f>
        <v>Total al  31/12/2022</v>
      </c>
      <c r="C12" s="109"/>
      <c r="D12" s="115">
        <f>SUM(D7:D11)</f>
        <v>0</v>
      </c>
      <c r="E12" s="103"/>
      <c r="F12" s="103"/>
    </row>
    <row r="13" spans="2:6">
      <c r="B13" s="109" t="str">
        <f>+'NOTA H CARGOS DIFERIDOS'!B12</f>
        <v>Total al 31/12/2021</v>
      </c>
      <c r="C13" s="113"/>
      <c r="D13" s="115">
        <v>0</v>
      </c>
      <c r="E13" s="103"/>
    </row>
    <row r="16" spans="2:6">
      <c r="D16" s="58">
        <f>+D13-'BALANCE GRAL 31 12 22'!D68</f>
        <v>0</v>
      </c>
    </row>
    <row r="17" spans="7:14">
      <c r="G17" s="42"/>
      <c r="K17" s="28" t="s">
        <v>857</v>
      </c>
      <c r="N17" s="28" t="s">
        <v>857</v>
      </c>
    </row>
    <row r="18" spans="7:14">
      <c r="G18" s="42"/>
      <c r="K18" s="28" t="s">
        <v>857</v>
      </c>
      <c r="N18" s="28" t="s">
        <v>857</v>
      </c>
    </row>
    <row r="19" spans="7:14">
      <c r="G19" s="42"/>
      <c r="K19" s="28" t="s">
        <v>857</v>
      </c>
      <c r="N19" s="28" t="s">
        <v>857</v>
      </c>
    </row>
    <row r="20" spans="7:14">
      <c r="G20" s="42"/>
      <c r="K20" s="28" t="s">
        <v>857</v>
      </c>
      <c r="N20" s="28" t="s">
        <v>857</v>
      </c>
    </row>
    <row r="21" spans="7:14">
      <c r="G21" s="42"/>
      <c r="H21" s="58"/>
      <c r="K21" s="28" t="s">
        <v>857</v>
      </c>
      <c r="N21" s="28" t="s">
        <v>857</v>
      </c>
    </row>
    <row r="22" spans="7:14">
      <c r="G22" s="42"/>
      <c r="K22" s="28" t="s">
        <v>857</v>
      </c>
      <c r="N22" s="28" t="s">
        <v>857</v>
      </c>
    </row>
    <row r="23" spans="7:14">
      <c r="G23" s="42"/>
      <c r="H23" s="58"/>
      <c r="K23" s="28" t="s">
        <v>857</v>
      </c>
      <c r="N23" s="28" t="s">
        <v>857</v>
      </c>
    </row>
    <row r="24" spans="7:14">
      <c r="G24" s="42"/>
      <c r="K24" s="28" t="s">
        <v>857</v>
      </c>
      <c r="N24" s="28" t="s">
        <v>857</v>
      </c>
    </row>
    <row r="25" spans="7:14">
      <c r="G25" s="42"/>
      <c r="H25" s="58"/>
      <c r="K25" s="28" t="s">
        <v>857</v>
      </c>
      <c r="N25" s="28" t="s">
        <v>857</v>
      </c>
    </row>
    <row r="26" spans="7:14">
      <c r="G26" s="42"/>
      <c r="K26" s="28" t="s">
        <v>857</v>
      </c>
      <c r="N26" s="28" t="s">
        <v>857</v>
      </c>
    </row>
    <row r="27" spans="7:14">
      <c r="G27" s="42"/>
      <c r="H27" s="58"/>
      <c r="K27" s="28" t="s">
        <v>857</v>
      </c>
      <c r="N27" s="28" t="s">
        <v>857</v>
      </c>
    </row>
  </sheetData>
  <mergeCells count="1">
    <mergeCell ref="B4:D4"/>
  </mergeCells>
  <hyperlinks>
    <hyperlink ref="B3" location="'BALANCE GRAL 30_06_22'!A1" display="i)   Intangibles," xr:uid="{FEE892CA-FFD6-4F72-B431-65E031ADFFE6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002060"/>
  </sheetPr>
  <dimension ref="B2:G15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8.28515625" style="28" customWidth="1"/>
    <col min="2" max="2" width="37.85546875" style="28" bestFit="1" customWidth="1"/>
    <col min="3" max="3" width="11.28515625" style="28" bestFit="1" customWidth="1"/>
    <col min="4" max="4" width="10.28515625" style="28" bestFit="1" customWidth="1"/>
    <col min="5" max="5" width="14" style="28" bestFit="1" customWidth="1"/>
    <col min="6" max="6" width="14.85546875" style="28" bestFit="1" customWidth="1"/>
    <col min="7" max="7" width="8.140625" style="28" customWidth="1"/>
    <col min="8" max="16384" width="11.42578125" style="28"/>
  </cols>
  <sheetData>
    <row r="2" spans="2:7" ht="11.45" customHeight="1">
      <c r="B2" s="99"/>
    </row>
    <row r="3" spans="2:7" ht="15">
      <c r="B3" s="372" t="s">
        <v>976</v>
      </c>
    </row>
    <row r="4" spans="2:7">
      <c r="B4" s="99"/>
    </row>
    <row r="5" spans="2:7" ht="12" customHeight="1">
      <c r="B5" s="713" t="s">
        <v>970</v>
      </c>
      <c r="C5" s="713"/>
      <c r="D5" s="713"/>
      <c r="E5" s="713"/>
      <c r="F5" s="713"/>
    </row>
    <row r="7" spans="2:7">
      <c r="B7" s="107" t="s">
        <v>824</v>
      </c>
      <c r="C7" s="107" t="s">
        <v>962</v>
      </c>
      <c r="D7" s="107" t="s">
        <v>963</v>
      </c>
      <c r="E7" s="107" t="s">
        <v>964</v>
      </c>
      <c r="F7" s="107" t="s">
        <v>965</v>
      </c>
    </row>
    <row r="8" spans="2:7">
      <c r="B8" s="36" t="s">
        <v>806</v>
      </c>
      <c r="C8" s="114">
        <v>0</v>
      </c>
      <c r="D8" s="114">
        <v>0</v>
      </c>
      <c r="E8" s="114">
        <v>0</v>
      </c>
      <c r="F8" s="114">
        <f t="shared" ref="F8:F12" si="0">+C8+D8-E8</f>
        <v>0</v>
      </c>
    </row>
    <row r="9" spans="2:7">
      <c r="B9" s="36" t="s">
        <v>491</v>
      </c>
      <c r="C9" s="114">
        <f>+'BALANCE GRAL 31 12 22'!E72</f>
        <v>57739382</v>
      </c>
      <c r="D9" s="114">
        <v>0</v>
      </c>
      <c r="E9" s="114">
        <f>C9-F9</f>
        <v>19246461</v>
      </c>
      <c r="F9" s="114">
        <f>'BALANCE GRAL 31 12 22'!D72</f>
        <v>38492921</v>
      </c>
    </row>
    <row r="10" spans="2:7">
      <c r="B10" s="36" t="s">
        <v>977</v>
      </c>
      <c r="C10" s="114">
        <v>0</v>
      </c>
      <c r="D10" s="114">
        <v>0</v>
      </c>
      <c r="E10" s="114">
        <v>0</v>
      </c>
      <c r="F10" s="114">
        <f t="shared" si="0"/>
        <v>0</v>
      </c>
    </row>
    <row r="11" spans="2:7">
      <c r="B11" s="36" t="s">
        <v>978</v>
      </c>
      <c r="C11" s="114">
        <v>0</v>
      </c>
      <c r="D11" s="114">
        <v>0</v>
      </c>
      <c r="E11" s="114">
        <v>0</v>
      </c>
      <c r="F11" s="114">
        <f t="shared" si="0"/>
        <v>0</v>
      </c>
    </row>
    <row r="12" spans="2:7">
      <c r="B12" s="109" t="str">
        <f>+' NOTA I INTANGIBLES'!B12</f>
        <v>Total al  31/12/2022</v>
      </c>
      <c r="C12" s="115">
        <f>SUM(C8:C11)</f>
        <v>57739382</v>
      </c>
      <c r="D12" s="115">
        <f>SUM(D8:D11)</f>
        <v>0</v>
      </c>
      <c r="E12" s="115">
        <f>SUM(E8:E11)</f>
        <v>19246461</v>
      </c>
      <c r="F12" s="115">
        <f t="shared" si="0"/>
        <v>38492921</v>
      </c>
      <c r="G12" s="116"/>
    </row>
    <row r="13" spans="2:7">
      <c r="B13" s="109" t="str">
        <f>+'NOTA H CARGOS DIFERIDOS'!B12</f>
        <v>Total al 31/12/2021</v>
      </c>
      <c r="C13" s="115">
        <v>57739382</v>
      </c>
      <c r="D13" s="115">
        <v>0</v>
      </c>
      <c r="E13" s="115">
        <v>0</v>
      </c>
      <c r="F13" s="115">
        <v>57739382</v>
      </c>
      <c r="G13" s="116"/>
    </row>
    <row r="15" spans="2:7">
      <c r="F15" s="58">
        <f>+F12-'BALANCE GRAL 31 12 22'!D74</f>
        <v>0</v>
      </c>
    </row>
  </sheetData>
  <mergeCells count="1">
    <mergeCell ref="B5:F5"/>
  </mergeCells>
  <hyperlinks>
    <hyperlink ref="B3" location="'BALANCE GRAL 30_09_22'!A1" display="j)       Otros Activos Corrientes y No Corrientes" xr:uid="{354A6F1D-A12F-463D-9975-902A5483722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002060"/>
  </sheetPr>
  <dimension ref="C3:G14"/>
  <sheetViews>
    <sheetView showGridLines="0" topLeftCell="B1" zoomScale="110" zoomScaleNormal="110" workbookViewId="0">
      <selection activeCell="A3" sqref="A3"/>
    </sheetView>
  </sheetViews>
  <sheetFormatPr baseColWidth="10" defaultColWidth="11.42578125" defaultRowHeight="12"/>
  <cols>
    <col min="1" max="1" width="0" style="28" hidden="1" customWidth="1"/>
    <col min="2" max="2" width="7.140625" style="28" customWidth="1"/>
    <col min="3" max="3" width="42.42578125" style="28" bestFit="1" customWidth="1"/>
    <col min="4" max="5" width="13.85546875" style="28" bestFit="1" customWidth="1"/>
    <col min="6" max="6" width="2.42578125" style="28" bestFit="1" customWidth="1"/>
    <col min="7" max="16384" width="11.42578125" style="28"/>
  </cols>
  <sheetData>
    <row r="3" spans="3:7" ht="15">
      <c r="C3" s="372" t="s">
        <v>979</v>
      </c>
    </row>
    <row r="4" spans="3:7">
      <c r="C4" s="99"/>
    </row>
    <row r="5" spans="3:7" ht="12" customHeight="1">
      <c r="C5" s="713" t="s">
        <v>970</v>
      </c>
      <c r="D5" s="713"/>
      <c r="E5" s="713"/>
      <c r="F5" s="366"/>
      <c r="G5" s="366"/>
    </row>
    <row r="7" spans="3:7">
      <c r="C7" s="32" t="s">
        <v>980</v>
      </c>
      <c r="D7" s="32" t="s">
        <v>981</v>
      </c>
      <c r="E7" s="32" t="s">
        <v>982</v>
      </c>
    </row>
    <row r="8" spans="3:7">
      <c r="C8" s="36" t="s">
        <v>983</v>
      </c>
      <c r="D8" s="165">
        <f>4503945205+2</f>
        <v>4503945207</v>
      </c>
      <c r="E8" s="93"/>
    </row>
    <row r="9" spans="3:7">
      <c r="C9" s="36" t="s">
        <v>983</v>
      </c>
      <c r="D9" s="165">
        <f>2250462328</f>
        <v>2250462328</v>
      </c>
      <c r="E9" s="93"/>
    </row>
    <row r="10" spans="3:7">
      <c r="C10" s="36" t="s">
        <v>984</v>
      </c>
      <c r="D10" s="165">
        <f>+'BALANCE GRAL 31 12 22'!G19</f>
        <v>416085000</v>
      </c>
      <c r="E10" s="93">
        <v>0</v>
      </c>
    </row>
    <row r="11" spans="3:7">
      <c r="C11" s="109" t="str">
        <f>+'NOTA J OTROS ACTIVOS CTES y NO '!B12</f>
        <v>Total al  31/12/2022</v>
      </c>
      <c r="D11" s="113">
        <f>SUM(D8:D10)</f>
        <v>7170492535</v>
      </c>
      <c r="E11" s="112">
        <v>0</v>
      </c>
      <c r="F11" s="42"/>
    </row>
    <row r="12" spans="3:7">
      <c r="C12" s="109" t="str">
        <f>+'NOTA J OTROS ACTIVOS CTES y NO '!B13</f>
        <v>Total al 31/12/2021</v>
      </c>
      <c r="D12" s="115">
        <v>9026012385</v>
      </c>
      <c r="E12" s="112">
        <v>0</v>
      </c>
      <c r="F12" s="42"/>
    </row>
    <row r="13" spans="3:7">
      <c r="D13" s="42">
        <f>+D11-'BALANCE GRAL 31 12 22'!G20</f>
        <v>0</v>
      </c>
    </row>
    <row r="14" spans="3:7">
      <c r="C14" s="384" t="s">
        <v>985</v>
      </c>
    </row>
  </sheetData>
  <mergeCells count="1">
    <mergeCell ref="C5:E5"/>
  </mergeCells>
  <hyperlinks>
    <hyperlink ref="C3" location="'BALANCE GRAL 30_09_22'!A1" display="k)       Préstamos Financieros a corto y a largo plazo." xr:uid="{8CCE8202-9946-4902-A655-0866DED0DB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54C8-7ACC-4D36-8E8E-5AFAFA8D298D}">
  <sheetPr>
    <tabColor theme="7" tint="0.59999389629810485"/>
    <pageSetUpPr fitToPage="1"/>
  </sheetPr>
  <dimension ref="A1:H89"/>
  <sheetViews>
    <sheetView zoomScale="120" zoomScaleNormal="120" workbookViewId="0">
      <pane ySplit="2" topLeftCell="A58" activePane="bottomLeft" state="frozen"/>
      <selection activeCell="G96" sqref="G96"/>
      <selection pane="bottomLeft" activeCell="A78" sqref="A78:XFD78"/>
    </sheetView>
  </sheetViews>
  <sheetFormatPr baseColWidth="10" defaultColWidth="8.85546875" defaultRowHeight="15"/>
  <cols>
    <col min="1" max="1" width="65.85546875" customWidth="1"/>
    <col min="2" max="2" width="25.7109375" style="411" customWidth="1"/>
    <col min="3" max="3" width="8.7109375" style="423" bestFit="1" customWidth="1"/>
    <col min="4" max="4" width="23" customWidth="1"/>
    <col min="5" max="5" width="18.42578125" customWidth="1"/>
    <col min="6" max="6" width="53.28515625" bestFit="1" customWidth="1"/>
    <col min="7" max="7" width="14.140625" style="411" bestFit="1" customWidth="1"/>
    <col min="8" max="8" width="11.7109375" bestFit="1" customWidth="1"/>
  </cols>
  <sheetData>
    <row r="1" spans="1:8" ht="54.75" customHeight="1"/>
    <row r="2" spans="1:8">
      <c r="A2" s="428" t="s">
        <v>120</v>
      </c>
      <c r="B2" s="427" t="s">
        <v>121</v>
      </c>
      <c r="C2" s="423" t="s">
        <v>122</v>
      </c>
      <c r="D2" t="s">
        <v>123</v>
      </c>
      <c r="F2" t="s">
        <v>3</v>
      </c>
      <c r="G2" s="411" t="s">
        <v>4</v>
      </c>
    </row>
    <row r="3" spans="1:8" s="409" customFormat="1">
      <c r="A3" s="409" t="str">
        <f t="shared" ref="A3:A34" si="0">+F3</f>
        <v>Ingresos</v>
      </c>
      <c r="B3" s="410">
        <f t="shared" ref="B3:B34" si="1">+G3</f>
        <v>4846732795</v>
      </c>
      <c r="C3" s="432">
        <f>+Tabla2[[#This Row],[31/3/2022]]/$B$3</f>
        <v>1</v>
      </c>
      <c r="F3" s="409" t="s">
        <v>124</v>
      </c>
      <c r="G3" s="410">
        <v>4846732795</v>
      </c>
      <c r="H3" s="464">
        <f>+G3-Tabla2[[#This Row],[31/3/2022]]</f>
        <v>0</v>
      </c>
    </row>
    <row r="4" spans="1:8" s="409" customFormat="1">
      <c r="A4" s="409" t="str">
        <f t="shared" si="0"/>
        <v>Ingresos Operativos</v>
      </c>
      <c r="B4" s="410">
        <f t="shared" si="1"/>
        <v>4466219247</v>
      </c>
      <c r="C4" s="432">
        <f>+Tabla2[[#This Row],[31/3/2022]]/$B$3</f>
        <v>0.92149071052719345</v>
      </c>
      <c r="F4" s="409" t="s">
        <v>125</v>
      </c>
      <c r="G4" s="410">
        <v>4466219247</v>
      </c>
    </row>
    <row r="5" spans="1:8" s="409" customFormat="1">
      <c r="A5" s="409" t="str">
        <f t="shared" si="0"/>
        <v>Ingresos Por Intermediacion</v>
      </c>
      <c r="B5" s="410">
        <f t="shared" si="1"/>
        <v>82276870</v>
      </c>
      <c r="C5" s="432">
        <f>+Tabla2[[#This Row],[31/3/2022]]/$B$3</f>
        <v>1.6975738807981883E-2</v>
      </c>
      <c r="F5" s="409" t="s">
        <v>126</v>
      </c>
      <c r="G5" s="410">
        <v>82276870</v>
      </c>
    </row>
    <row r="6" spans="1:8" s="409" customFormat="1">
      <c r="A6" s="409" t="str">
        <f t="shared" si="0"/>
        <v>Comisiones Por Intermediacion</v>
      </c>
      <c r="B6" s="410">
        <f t="shared" si="1"/>
        <v>82276870</v>
      </c>
      <c r="C6" s="432">
        <f>+Tabla2[[#This Row],[31/3/2022]]/$B$3</f>
        <v>1.6975738807981883E-2</v>
      </c>
      <c r="F6" s="409" t="s">
        <v>127</v>
      </c>
      <c r="G6" s="410">
        <v>82276870</v>
      </c>
    </row>
    <row r="7" spans="1:8" s="409" customFormat="1">
      <c r="A7" s="409" t="str">
        <f t="shared" si="0"/>
        <v>Bursatiles</v>
      </c>
      <c r="B7" s="410">
        <f t="shared" si="1"/>
        <v>64178337</v>
      </c>
      <c r="C7" s="432">
        <f>+Tabla2[[#This Row],[31/3/2022]]/$B$3</f>
        <v>1.3241566992553796E-2</v>
      </c>
      <c r="F7" s="409" t="s">
        <v>128</v>
      </c>
      <c r="G7" s="410">
        <v>64178337</v>
      </c>
    </row>
    <row r="8" spans="1:8" s="409" customFormat="1">
      <c r="A8" s="409" t="str">
        <f t="shared" si="0"/>
        <v>Extrabursatiles</v>
      </c>
      <c r="B8" s="410">
        <f t="shared" si="1"/>
        <v>15347399</v>
      </c>
      <c r="C8" s="432">
        <f>+Tabla2[[#This Row],[31/3/2022]]/$B$3</f>
        <v>3.1665453098286595E-3</v>
      </c>
      <c r="F8" s="409" t="s">
        <v>129</v>
      </c>
      <c r="G8" s="410">
        <v>15347399</v>
      </c>
    </row>
    <row r="9" spans="1:8" s="409" customFormat="1">
      <c r="A9" s="409" t="str">
        <f t="shared" si="0"/>
        <v>Aranceles Cobrados BVPASA</v>
      </c>
      <c r="B9" s="410">
        <f t="shared" si="1"/>
        <v>2751134</v>
      </c>
      <c r="C9" s="432">
        <f>+Tabla2[[#This Row],[31/3/2022]]/$B$3</f>
        <v>5.6762650559942821E-4</v>
      </c>
      <c r="F9" s="409" t="s">
        <v>130</v>
      </c>
      <c r="G9" s="410">
        <v>2751134</v>
      </c>
    </row>
    <row r="10" spans="1:8" s="409" customFormat="1">
      <c r="A10" s="409" t="str">
        <f t="shared" si="0"/>
        <v>Utilidad Por Venta De Inversiones/Cartera Propia</v>
      </c>
      <c r="B10" s="410">
        <f t="shared" si="1"/>
        <v>3822086726</v>
      </c>
      <c r="C10" s="432">
        <f>+Tabla2[[#This Row],[31/3/2022]]/$B$3</f>
        <v>0.78859035306071579</v>
      </c>
      <c r="F10" s="409" t="s">
        <v>131</v>
      </c>
      <c r="G10" s="410">
        <v>3822086726</v>
      </c>
    </row>
    <row r="11" spans="1:8" s="409" customFormat="1">
      <c r="A11" s="409" t="str">
        <f t="shared" si="0"/>
        <v>Instrumentos Financieros</v>
      </c>
      <c r="B11" s="410">
        <f t="shared" si="1"/>
        <v>3822086726</v>
      </c>
      <c r="C11" s="432">
        <f>+Tabla2[[#This Row],[31/3/2022]]/$B$3</f>
        <v>0.78859035306071579</v>
      </c>
      <c r="F11" s="409" t="s">
        <v>132</v>
      </c>
      <c r="G11" s="410">
        <v>3822086726</v>
      </c>
    </row>
    <row r="12" spans="1:8" s="409" customFormat="1">
      <c r="A12" s="409" t="str">
        <f t="shared" si="0"/>
        <v>Titulos De Deuda Bonos</v>
      </c>
      <c r="B12" s="410">
        <f t="shared" si="1"/>
        <v>3676898142</v>
      </c>
      <c r="C12" s="432">
        <f>+Tabla2[[#This Row],[31/3/2022]]/$B$3</f>
        <v>0.75863438269037065</v>
      </c>
      <c r="F12" s="409" t="s">
        <v>133</v>
      </c>
      <c r="G12" s="410">
        <v>3676898142</v>
      </c>
    </row>
    <row r="13" spans="1:8" s="409" customFormat="1">
      <c r="A13" s="409" t="str">
        <f t="shared" si="0"/>
        <v>Titulos De Deuda CDA</v>
      </c>
      <c r="B13" s="410">
        <f t="shared" si="1"/>
        <v>145188584</v>
      </c>
      <c r="C13" s="432">
        <f>+Tabla2[[#This Row],[31/3/2022]]/$B$3</f>
        <v>2.9955970370345121E-2</v>
      </c>
      <c r="F13" s="409" t="s">
        <v>134</v>
      </c>
      <c r="G13" s="410">
        <v>145188584</v>
      </c>
    </row>
    <row r="14" spans="1:8" s="409" customFormat="1">
      <c r="A14" s="409" t="str">
        <f t="shared" si="0"/>
        <v>Ingresos Financieros</v>
      </c>
      <c r="B14" s="410">
        <f t="shared" si="1"/>
        <v>560759516</v>
      </c>
      <c r="C14" s="432">
        <f>+Tabla2[[#This Row],[31/3/2022]]/$B$3</f>
        <v>0.11569845908949061</v>
      </c>
      <c r="F14" s="409" t="s">
        <v>135</v>
      </c>
      <c r="G14" s="410">
        <v>560759516</v>
      </c>
    </row>
    <row r="15" spans="1:8" s="409" customFormat="1">
      <c r="A15" s="409" t="str">
        <f t="shared" si="0"/>
        <v>Intereses caja de ahorro en entidades bancarias</v>
      </c>
      <c r="B15" s="410">
        <f t="shared" si="1"/>
        <v>307380</v>
      </c>
      <c r="C15" s="432">
        <f>+Tabla2[[#This Row],[31/3/2022]]/$B$3</f>
        <v>6.3420042531971271E-5</v>
      </c>
      <c r="F15" s="409" t="s">
        <v>136</v>
      </c>
      <c r="G15" s="410">
        <v>307380</v>
      </c>
    </row>
    <row r="16" spans="1:8" s="409" customFormat="1">
      <c r="A16" s="409" t="str">
        <f t="shared" si="0"/>
        <v>Intereses  Por Instrumentos Financieros - Bursatiles -</v>
      </c>
      <c r="B16" s="410">
        <f t="shared" si="1"/>
        <v>536376727</v>
      </c>
      <c r="C16" s="432">
        <f>+Tabla2[[#This Row],[31/3/2022]]/$B$3</f>
        <v>0.11066769093467221</v>
      </c>
      <c r="F16" s="409" t="s">
        <v>137</v>
      </c>
      <c r="G16" s="410">
        <v>536376727</v>
      </c>
    </row>
    <row r="17" spans="1:8" s="409" customFormat="1">
      <c r="A17" s="409" t="str">
        <f t="shared" si="0"/>
        <v>Utilidad Por Diferencia De Cambio- Divisas</v>
      </c>
      <c r="B17" s="410">
        <f t="shared" si="1"/>
        <v>3481738</v>
      </c>
      <c r="C17" s="432">
        <f>+Tabla2[[#This Row],[31/3/2022]]/$B$3</f>
        <v>7.183680527203481E-4</v>
      </c>
      <c r="F17" s="409" t="s">
        <v>138</v>
      </c>
      <c r="G17" s="410">
        <v>3481738</v>
      </c>
    </row>
    <row r="18" spans="1:8" s="409" customFormat="1">
      <c r="A18" s="409" t="str">
        <f t="shared" si="0"/>
        <v>Intereses  Por Instrumentos Financieros - Extra Bursatiles</v>
      </c>
      <c r="B18" s="410">
        <f t="shared" si="1"/>
        <v>800731</v>
      </c>
      <c r="C18" s="432">
        <f>+Tabla2[[#This Row],[31/3/2022]]/$B$3</f>
        <v>1.6521046937558687E-4</v>
      </c>
      <c r="F18" s="409" t="s">
        <v>139</v>
      </c>
      <c r="G18" s="410">
        <v>800731</v>
      </c>
    </row>
    <row r="19" spans="1:8" s="409" customFormat="1">
      <c r="A19" s="409" t="str">
        <f t="shared" si="0"/>
        <v>Intereses cobrados por Repos - Reportador</v>
      </c>
      <c r="B19" s="410">
        <f t="shared" si="1"/>
        <v>305295</v>
      </c>
      <c r="C19" s="432">
        <f>+Tabla2[[#This Row],[31/3/2022]]/$B$3</f>
        <v>6.2989855829260748E-5</v>
      </c>
      <c r="F19" s="409" t="s">
        <v>140</v>
      </c>
      <c r="G19" s="410">
        <v>305295</v>
      </c>
    </row>
    <row r="20" spans="1:8" s="409" customFormat="1">
      <c r="A20" s="409" t="str">
        <f t="shared" si="0"/>
        <v>Intereses Devengados - Portafolio Bursátil.</v>
      </c>
      <c r="B20" s="410">
        <f t="shared" si="1"/>
        <v>6232573</v>
      </c>
      <c r="C20" s="432">
        <f>+Tabla2[[#This Row],[31/3/2022]]/$B$3</f>
        <v>1.2859328672770376E-3</v>
      </c>
      <c r="F20" s="409" t="s">
        <v>141</v>
      </c>
      <c r="G20" s="410">
        <v>6232573</v>
      </c>
    </row>
    <row r="21" spans="1:8" s="409" customFormat="1">
      <c r="A21" s="409" t="str">
        <f t="shared" si="0"/>
        <v>Intereses Devengados - Portafolio Extra - Bursátil.</v>
      </c>
      <c r="B21" s="410">
        <f t="shared" si="1"/>
        <v>13255072</v>
      </c>
      <c r="C21" s="432">
        <f>+Tabla2[[#This Row],[31/3/2022]]/$B$3</f>
        <v>2.7348468670842004E-3</v>
      </c>
      <c r="F21" s="409" t="s">
        <v>142</v>
      </c>
      <c r="G21" s="410">
        <v>13255072</v>
      </c>
      <c r="H21" s="464">
        <f>+G21-Tabla2[[#This Row],[31/3/2022]]</f>
        <v>0</v>
      </c>
    </row>
    <row r="22" spans="1:8" s="409" customFormat="1">
      <c r="A22" s="409" t="str">
        <f t="shared" si="0"/>
        <v>Otros Ingresos Operativos</v>
      </c>
      <c r="B22" s="410">
        <f t="shared" si="1"/>
        <v>1096135</v>
      </c>
      <c r="C22" s="432">
        <f>+Tabla2[[#This Row],[31/3/2022]]/$B$3</f>
        <v>2.2615956900508274E-4</v>
      </c>
      <c r="F22" s="409" t="s">
        <v>143</v>
      </c>
      <c r="G22" s="410">
        <v>1096135</v>
      </c>
      <c r="H22" s="464">
        <f>+G22-Tabla2[[#This Row],[31/3/2022]]</f>
        <v>0</v>
      </c>
    </row>
    <row r="23" spans="1:8" s="409" customFormat="1">
      <c r="A23" s="409" t="str">
        <f t="shared" si="0"/>
        <v>Utilidad Por Operaciones Bursatiles</v>
      </c>
      <c r="B23" s="410">
        <f t="shared" si="1"/>
        <v>410000</v>
      </c>
      <c r="C23" s="432">
        <f>+Tabla2[[#This Row],[31/3/2022]]/$B$3</f>
        <v>8.4593068638519816E-5</v>
      </c>
      <c r="F23" s="409" t="s">
        <v>144</v>
      </c>
      <c r="G23" s="410">
        <v>410000</v>
      </c>
    </row>
    <row r="24" spans="1:8" s="409" customFormat="1">
      <c r="A24" s="409" t="str">
        <f t="shared" si="0"/>
        <v>Utilidad Por Operaciones Extrabursátiles</v>
      </c>
      <c r="B24" s="410">
        <f t="shared" si="1"/>
        <v>686135</v>
      </c>
      <c r="C24" s="432">
        <f>+Tabla2[[#This Row],[31/3/2022]]/$B$3</f>
        <v>1.4156650036656291E-4</v>
      </c>
      <c r="F24" s="409" t="s">
        <v>145</v>
      </c>
      <c r="G24" s="410">
        <v>686135</v>
      </c>
    </row>
    <row r="25" spans="1:8" s="409" customFormat="1">
      <c r="A25" s="409" t="str">
        <f t="shared" si="0"/>
        <v>Ingresos No Operativos</v>
      </c>
      <c r="B25" s="410">
        <f t="shared" si="1"/>
        <v>380513548</v>
      </c>
      <c r="C25" s="432">
        <f>+Tabla2[[#This Row],[31/3/2022]]/$B$3</f>
        <v>7.8509289472806595E-2</v>
      </c>
      <c r="F25" s="409" t="s">
        <v>146</v>
      </c>
      <c r="G25" s="410">
        <v>380513548</v>
      </c>
    </row>
    <row r="26" spans="1:8" s="409" customFormat="1">
      <c r="A26" s="409" t="str">
        <f t="shared" si="0"/>
        <v>Ingresos Extraordinarios</v>
      </c>
      <c r="B26" s="410">
        <f t="shared" si="1"/>
        <v>380513548</v>
      </c>
      <c r="C26" s="432">
        <f>+Tabla2[[#This Row],[31/3/2022]]/$B$3</f>
        <v>7.8509289472806595E-2</v>
      </c>
      <c r="F26" s="409" t="s">
        <v>147</v>
      </c>
      <c r="G26" s="410">
        <v>380513548</v>
      </c>
    </row>
    <row r="27" spans="1:8" s="409" customFormat="1">
      <c r="A27" s="409" t="str">
        <f t="shared" si="0"/>
        <v>Otros Ingresos Administrativos</v>
      </c>
      <c r="B27" s="410">
        <f t="shared" si="1"/>
        <v>380513548</v>
      </c>
      <c r="C27" s="432">
        <f>+Tabla2[[#This Row],[31/3/2022]]/$B$3</f>
        <v>7.8509289472806595E-2</v>
      </c>
      <c r="F27" s="409" t="s">
        <v>148</v>
      </c>
      <c r="G27" s="410">
        <v>380513548</v>
      </c>
    </row>
    <row r="28" spans="1:8" s="409" customFormat="1">
      <c r="A28" s="409" t="str">
        <f t="shared" si="0"/>
        <v>Egresos Operativos</v>
      </c>
      <c r="B28" s="410">
        <f t="shared" si="1"/>
        <v>5015880246</v>
      </c>
      <c r="C28" s="432">
        <f>+Tabla2[[#This Row],[31/3/2022]]/$B$3</f>
        <v>1.0348992730060333</v>
      </c>
      <c r="F28" s="409" t="s">
        <v>149</v>
      </c>
      <c r="G28" s="410">
        <v>5015880246</v>
      </c>
    </row>
    <row r="29" spans="1:8" s="409" customFormat="1">
      <c r="A29" s="409" t="str">
        <f t="shared" si="0"/>
        <v>Gastos De Gestión De Operaciones</v>
      </c>
      <c r="B29" s="410">
        <f t="shared" si="1"/>
        <v>3960968719</v>
      </c>
      <c r="C29" s="432">
        <f>+Tabla2[[#This Row],[31/3/2022]]/$B$3</f>
        <v>0.81724511883267537</v>
      </c>
      <c r="F29" s="409" t="s">
        <v>150</v>
      </c>
      <c r="G29" s="410">
        <v>3960968719</v>
      </c>
    </row>
    <row r="30" spans="1:8" s="409" customFormat="1">
      <c r="A30" s="409" t="str">
        <f t="shared" si="0"/>
        <v>Costo de Venta de Valores</v>
      </c>
      <c r="B30" s="410">
        <f t="shared" si="1"/>
        <v>3901319882</v>
      </c>
      <c r="C30" s="432">
        <f>+Tabla2[[#This Row],[31/3/2022]]/$B$3</f>
        <v>0.80493809892401957</v>
      </c>
      <c r="F30" s="409" t="s">
        <v>151</v>
      </c>
      <c r="G30" s="410">
        <v>3901319882</v>
      </c>
    </row>
    <row r="31" spans="1:8" s="409" customFormat="1">
      <c r="A31" s="409" t="str">
        <f t="shared" si="0"/>
        <v>Fondo De Garantia Bvpasa</v>
      </c>
      <c r="B31" s="410">
        <f t="shared" si="1"/>
        <v>1420204</v>
      </c>
      <c r="C31" s="432">
        <f>+Tabla2[[#This Row],[31/3/2022]]/$B$3</f>
        <v>2.9302296207975705E-4</v>
      </c>
      <c r="F31" s="409" t="s">
        <v>152</v>
      </c>
      <c r="G31" s="410">
        <v>1420204</v>
      </c>
    </row>
    <row r="32" spans="1:8" s="409" customFormat="1">
      <c r="A32" s="409" t="str">
        <f t="shared" si="0"/>
        <v>Aranceles Pagados Bvpasa</v>
      </c>
      <c r="B32" s="410">
        <f t="shared" si="1"/>
        <v>82560000</v>
      </c>
      <c r="C32" s="432">
        <f>+Tabla2[[#This Row],[31/3/2022]]/$B$3</f>
        <v>1.7034155479990723E-2</v>
      </c>
      <c r="F32" s="409" t="s">
        <v>153</v>
      </c>
      <c r="G32" s="410">
        <v>82560000</v>
      </c>
    </row>
    <row r="33" spans="1:7" s="409" customFormat="1">
      <c r="A33" s="409" t="str">
        <f t="shared" si="0"/>
        <v>Costo de Venta de Bonos</v>
      </c>
      <c r="B33" s="410">
        <f t="shared" si="1"/>
        <v>3672255411</v>
      </c>
      <c r="C33" s="432">
        <f>+Tabla2[[#This Row],[31/3/2022]]/$B$3</f>
        <v>0.75767647327048493</v>
      </c>
      <c r="F33" s="409" t="s">
        <v>154</v>
      </c>
      <c r="G33" s="410">
        <v>3672255411</v>
      </c>
    </row>
    <row r="34" spans="1:7" s="409" customFormat="1">
      <c r="A34" s="409" t="str">
        <f t="shared" si="0"/>
        <v>Costo de Venta de CDA</v>
      </c>
      <c r="B34" s="410">
        <f t="shared" si="1"/>
        <v>145084267</v>
      </c>
      <c r="C34" s="432">
        <f>+Tabla2[[#This Row],[31/3/2022]]/$B$3</f>
        <v>2.9934447211464234E-2</v>
      </c>
      <c r="F34" s="409" t="s">
        <v>155</v>
      </c>
      <c r="G34" s="410">
        <v>145084267</v>
      </c>
    </row>
    <row r="35" spans="1:7" s="409" customFormat="1">
      <c r="A35" s="409" t="str">
        <f t="shared" ref="A35:A64" si="2">+F35</f>
        <v>Otros Gastos De Operaciones</v>
      </c>
      <c r="B35" s="410">
        <f t="shared" ref="B35:B56" si="3">+G35</f>
        <v>59648837</v>
      </c>
      <c r="C35" s="432">
        <f>+Tabla2[[#This Row],[31/3/2022]]/$B$3</f>
        <v>1.2307019908655806E-2</v>
      </c>
      <c r="F35" s="409" t="s">
        <v>156</v>
      </c>
      <c r="G35" s="410">
        <v>59648837</v>
      </c>
    </row>
    <row r="36" spans="1:7" s="409" customFormat="1">
      <c r="A36" s="409" t="str">
        <f t="shared" si="2"/>
        <v>Perdidas Varias Operaciones</v>
      </c>
      <c r="B36" s="410">
        <f t="shared" si="3"/>
        <v>6</v>
      </c>
      <c r="C36" s="432">
        <f>+Tabla2[[#This Row],[31/3/2022]]/$B$3</f>
        <v>1.2379473459295584E-9</v>
      </c>
      <c r="F36" s="409" t="s">
        <v>157</v>
      </c>
      <c r="G36" s="410">
        <v>6</v>
      </c>
    </row>
    <row r="37" spans="1:7" s="409" customFormat="1">
      <c r="A37" s="409" t="str">
        <f t="shared" si="2"/>
        <v>Intereses Pagados sobre REPOS - Recompra</v>
      </c>
      <c r="B37" s="410">
        <f t="shared" si="3"/>
        <v>46422505</v>
      </c>
      <c r="C37" s="432">
        <f>+Tabla2[[#This Row],[31/3/2022]]/$B$3</f>
        <v>9.5781028093586077E-3</v>
      </c>
      <c r="F37" s="409" t="s">
        <v>158</v>
      </c>
      <c r="G37" s="410">
        <v>46422505</v>
      </c>
    </row>
    <row r="38" spans="1:7" s="409" customFormat="1">
      <c r="A38" s="409" t="str">
        <f t="shared" si="2"/>
        <v>Aranceles pagados a CNV</v>
      </c>
      <c r="B38" s="410">
        <f t="shared" si="3"/>
        <v>3230064</v>
      </c>
      <c r="C38" s="432">
        <f>+Tabla2[[#This Row],[31/3/2022]]/$B$3</f>
        <v>6.6644152599710214E-4</v>
      </c>
      <c r="F38" s="409" t="s">
        <v>159</v>
      </c>
      <c r="G38" s="410">
        <v>3230064</v>
      </c>
    </row>
    <row r="39" spans="1:7" s="409" customFormat="1">
      <c r="A39" s="409" t="str">
        <f t="shared" si="2"/>
        <v xml:space="preserve">Comisiones Pagadas Asesores Independientes </v>
      </c>
      <c r="B39" s="410">
        <f t="shared" si="3"/>
        <v>2058235</v>
      </c>
      <c r="C39" s="432">
        <f>+Tabla2[[#This Row],[31/3/2022]]/$B$3</f>
        <v>4.2466442592488743E-4</v>
      </c>
      <c r="F39" s="409" t="s">
        <v>160</v>
      </c>
      <c r="G39" s="410">
        <v>2058235</v>
      </c>
    </row>
    <row r="40" spans="1:7" s="409" customFormat="1">
      <c r="A40" s="409" t="str">
        <f t="shared" si="2"/>
        <v>Comisiones Pagadas a Otras entidades por intermediación</v>
      </c>
      <c r="B40" s="410">
        <f t="shared" si="3"/>
        <v>375000</v>
      </c>
      <c r="C40" s="432">
        <f>+Tabla2[[#This Row],[31/3/2022]]/$B$3</f>
        <v>7.7371709120597394E-5</v>
      </c>
      <c r="F40" s="409" t="s">
        <v>161</v>
      </c>
      <c r="G40" s="410">
        <v>375000</v>
      </c>
    </row>
    <row r="41" spans="1:7" s="409" customFormat="1">
      <c r="A41" s="409" t="str">
        <f t="shared" si="2"/>
        <v>Aranceles Pagados SEPRELAD</v>
      </c>
      <c r="B41" s="410">
        <f t="shared" si="3"/>
        <v>7563027</v>
      </c>
      <c r="C41" s="432">
        <f>+Tabla2[[#This Row],[31/3/2022]]/$B$3</f>
        <v>1.5604382003072648E-3</v>
      </c>
      <c r="F41" s="409" t="s">
        <v>162</v>
      </c>
      <c r="G41" s="410">
        <v>7563027</v>
      </c>
    </row>
    <row r="42" spans="1:7" s="409" customFormat="1">
      <c r="A42" s="409" t="str">
        <f t="shared" si="2"/>
        <v>Gastos De Ventas O Comercialización</v>
      </c>
      <c r="B42" s="410">
        <f t="shared" si="3"/>
        <v>10914028</v>
      </c>
      <c r="C42" s="432">
        <f>+Tabla2[[#This Row],[31/3/2022]]/$B$3</f>
        <v>2.2518319993334807E-3</v>
      </c>
      <c r="D42" s="426"/>
      <c r="E42" s="426"/>
      <c r="F42" s="409" t="s">
        <v>163</v>
      </c>
      <c r="G42" s="410">
        <v>10914028</v>
      </c>
    </row>
    <row r="43" spans="1:7" s="409" customFormat="1">
      <c r="A43" s="409" t="str">
        <f t="shared" si="2"/>
        <v>Otros Beneficios Al Personal de Ventas</v>
      </c>
      <c r="B43" s="410">
        <f t="shared" si="3"/>
        <v>10914028</v>
      </c>
      <c r="C43" s="432">
        <f>+Tabla2[[#This Row],[31/3/2022]]/$B$3</f>
        <v>2.2518319993334807E-3</v>
      </c>
      <c r="F43" s="409" t="s">
        <v>164</v>
      </c>
      <c r="G43" s="410">
        <v>10914028</v>
      </c>
    </row>
    <row r="44" spans="1:7" s="409" customFormat="1">
      <c r="A44" s="409" t="str">
        <f t="shared" si="2"/>
        <v>Publicidad Y Propaganda</v>
      </c>
      <c r="B44" s="410">
        <f t="shared" si="3"/>
        <v>10914028</v>
      </c>
      <c r="C44" s="432">
        <f>+Tabla2[[#This Row],[31/3/2022]]/$B$3</f>
        <v>2.2518319993334807E-3</v>
      </c>
      <c r="F44" s="409" t="s">
        <v>165</v>
      </c>
      <c r="G44" s="410">
        <v>10914028</v>
      </c>
    </row>
    <row r="45" spans="1:7" s="409" customFormat="1">
      <c r="A45" s="409" t="str">
        <f t="shared" si="2"/>
        <v>Gastos De Administración</v>
      </c>
      <c r="B45" s="410">
        <f t="shared" si="3"/>
        <v>875231058</v>
      </c>
      <c r="C45" s="432">
        <f>+Tabla2[[#This Row],[31/3/2022]]/$B$3</f>
        <v>0.18058166088770322</v>
      </c>
      <c r="F45" s="409" t="s">
        <v>166</v>
      </c>
      <c r="G45" s="410">
        <v>875231058</v>
      </c>
    </row>
    <row r="46" spans="1:7" s="409" customFormat="1">
      <c r="A46" s="409" t="str">
        <f t="shared" si="2"/>
        <v>Sueldos Y Otras Remuneraciones Al Personal</v>
      </c>
      <c r="B46" s="410">
        <f t="shared" si="3"/>
        <v>132556999</v>
      </c>
      <c r="C46" s="432">
        <f>+Tabla2[[#This Row],[31/3/2022]]/$B$3</f>
        <v>2.734976418273952E-2</v>
      </c>
      <c r="F46" s="409" t="s">
        <v>167</v>
      </c>
      <c r="G46" s="410">
        <v>132556999</v>
      </c>
    </row>
    <row r="47" spans="1:7" s="409" customFormat="1">
      <c r="A47" s="409" t="str">
        <f t="shared" si="2"/>
        <v>Sueldos Y Jornales</v>
      </c>
      <c r="B47" s="410">
        <f t="shared" si="3"/>
        <v>96718509</v>
      </c>
      <c r="C47" s="432">
        <f>+Tabla2[[#This Row],[31/3/2022]]/$B$3</f>
        <v>1.9955403586469016E-2</v>
      </c>
      <c r="F47" s="409" t="s">
        <v>168</v>
      </c>
      <c r="G47" s="410">
        <v>96718509</v>
      </c>
    </row>
    <row r="48" spans="1:7" s="409" customFormat="1">
      <c r="A48" s="409" t="str">
        <f t="shared" si="2"/>
        <v>Aporte Patronal</v>
      </c>
      <c r="B48" s="410">
        <f t="shared" si="3"/>
        <v>15958556</v>
      </c>
      <c r="C48" s="432">
        <f>+Tabla2[[#This Row],[31/3/2022]]/$B$3</f>
        <v>3.2926420075113714E-3</v>
      </c>
      <c r="F48" s="409" t="s">
        <v>169</v>
      </c>
      <c r="G48" s="410">
        <v>15958556</v>
      </c>
    </row>
    <row r="49" spans="1:7" s="409" customFormat="1">
      <c r="A49" s="409" t="str">
        <f t="shared" si="2"/>
        <v>Otros Beneficios Al Personal</v>
      </c>
      <c r="B49" s="410">
        <f t="shared" si="3"/>
        <v>7145480</v>
      </c>
      <c r="C49" s="432">
        <f>+Tabla2[[#This Row],[31/3/2022]]/$B$3</f>
        <v>1.4742880002321234E-3</v>
      </c>
      <c r="F49" s="409" t="s">
        <v>170</v>
      </c>
      <c r="G49" s="410">
        <v>7145480</v>
      </c>
    </row>
    <row r="50" spans="1:7" s="409" customFormat="1">
      <c r="A50" s="409" t="str">
        <f t="shared" si="2"/>
        <v>Aguinaldos</v>
      </c>
      <c r="B50" s="410">
        <f t="shared" si="3"/>
        <v>8059876</v>
      </c>
      <c r="C50" s="432">
        <f>+Tabla2[[#This Row],[31/3/2022]]/$B$3</f>
        <v>1.6629503504535575E-3</v>
      </c>
      <c r="F50" s="409" t="s">
        <v>171</v>
      </c>
      <c r="G50" s="410">
        <v>8059876</v>
      </c>
    </row>
    <row r="51" spans="1:7" s="409" customFormat="1">
      <c r="A51" s="409" t="str">
        <f t="shared" si="2"/>
        <v>Capacitacion Al Personal</v>
      </c>
      <c r="B51" s="410">
        <f t="shared" si="3"/>
        <v>3222760</v>
      </c>
      <c r="C51" s="432">
        <f>+Tabla2[[#This Row],[31/3/2022]]/$B$3</f>
        <v>6.6493453142799054E-4</v>
      </c>
      <c r="F51" s="409" t="s">
        <v>172</v>
      </c>
      <c r="G51" s="410">
        <v>3222760</v>
      </c>
    </row>
    <row r="52" spans="1:7" s="409" customFormat="1">
      <c r="A52" s="409" t="str">
        <f t="shared" si="2"/>
        <v>Uniformes Del Personal</v>
      </c>
      <c r="B52" s="410">
        <f t="shared" si="3"/>
        <v>1451818</v>
      </c>
      <c r="C52" s="432">
        <f>+Tabla2[[#This Row],[31/3/2022]]/$B$3</f>
        <v>2.9954570664545994E-4</v>
      </c>
      <c r="F52" s="409" t="s">
        <v>173</v>
      </c>
      <c r="G52" s="410">
        <v>1451818</v>
      </c>
    </row>
    <row r="53" spans="1:7" s="409" customFormat="1">
      <c r="A53" s="409" t="str">
        <f t="shared" si="2"/>
        <v>Remuneración Personal Superior</v>
      </c>
      <c r="B53" s="410">
        <f t="shared" si="3"/>
        <v>605833338</v>
      </c>
      <c r="C53" s="432">
        <f>+Tabla2[[#This Row],[31/3/2022]]/$B$3</f>
        <v>0.1249982954754575</v>
      </c>
      <c r="F53" s="409" t="s">
        <v>174</v>
      </c>
      <c r="G53" s="410">
        <v>605833338</v>
      </c>
    </row>
    <row r="54" spans="1:7" s="409" customFormat="1">
      <c r="A54" s="409" t="str">
        <f t="shared" si="2"/>
        <v xml:space="preserve">Servicios Personales Independientes </v>
      </c>
      <c r="B54" s="410">
        <f t="shared" si="3"/>
        <v>605833338</v>
      </c>
      <c r="C54" s="432">
        <f>+Tabla2[[#This Row],[31/3/2022]]/$B$3</f>
        <v>0.1249982954754575</v>
      </c>
      <c r="F54" s="409" t="s">
        <v>175</v>
      </c>
      <c r="G54" s="410">
        <v>605833338</v>
      </c>
    </row>
    <row r="55" spans="1:7" s="409" customFormat="1">
      <c r="A55" s="409" t="str">
        <f t="shared" si="2"/>
        <v>Servicios Prestados Por Terceros</v>
      </c>
      <c r="B55" s="410">
        <f t="shared" si="3"/>
        <v>136840721</v>
      </c>
      <c r="C55" s="432">
        <f>+Tabla2[[#This Row],[31/3/2022]]/$B$3</f>
        <v>2.8233601229506196E-2</v>
      </c>
      <c r="F55" s="409" t="s">
        <v>176</v>
      </c>
      <c r="G55" s="410">
        <v>136840721</v>
      </c>
    </row>
    <row r="56" spans="1:7" s="409" customFormat="1">
      <c r="A56" s="409" t="str">
        <f t="shared" si="2"/>
        <v>Honorarios Profesionales</v>
      </c>
      <c r="B56" s="410">
        <f t="shared" si="3"/>
        <v>6481911</v>
      </c>
      <c r="C56" s="432">
        <f>+Tabla2[[#This Row],[31/3/2022]]/$B$3</f>
        <v>1.3373774198336015E-3</v>
      </c>
      <c r="F56" s="409" t="s">
        <v>177</v>
      </c>
      <c r="G56" s="410">
        <v>6481911</v>
      </c>
    </row>
    <row r="57" spans="1:7" s="409" customFormat="1">
      <c r="A57" s="409" t="str">
        <f t="shared" si="2"/>
        <v>Servicios Contratados Ire</v>
      </c>
      <c r="B57" s="410">
        <f t="shared" ref="B57:B63" si="4">+G57</f>
        <v>103293773</v>
      </c>
      <c r="C57" s="432">
        <f>+Tabla2[[#This Row],[31/3/2022]]/$B$3</f>
        <v>2.1312042022733377E-2</v>
      </c>
      <c r="F57" s="409" t="s">
        <v>178</v>
      </c>
      <c r="G57" s="410">
        <v>103293773</v>
      </c>
    </row>
    <row r="58" spans="1:7" s="409" customFormat="1">
      <c r="A58" s="409" t="str">
        <f t="shared" si="2"/>
        <v>Servicios Personales Irp</v>
      </c>
      <c r="B58" s="410">
        <f t="shared" si="4"/>
        <v>2209092</v>
      </c>
      <c r="C58" s="432">
        <f>+Tabla2[[#This Row],[31/3/2022]]/$B$3</f>
        <v>4.5578992971903663E-4</v>
      </c>
      <c r="F58" s="409" t="s">
        <v>179</v>
      </c>
      <c r="G58" s="410">
        <v>2209092</v>
      </c>
    </row>
    <row r="59" spans="1:7" s="409" customFormat="1">
      <c r="A59" s="409" t="str">
        <f t="shared" si="2"/>
        <v>Agua, Luz, Teléfono E Internet</v>
      </c>
      <c r="B59" s="410">
        <f t="shared" si="4"/>
        <v>13210480</v>
      </c>
      <c r="C59" s="432">
        <f>+Tabla2[[#This Row],[31/3/2022]]/$B$3</f>
        <v>2.725646442409252E-3</v>
      </c>
      <c r="F59" s="409" t="s">
        <v>180</v>
      </c>
      <c r="G59" s="410">
        <v>13210480</v>
      </c>
    </row>
    <row r="60" spans="1:7" s="409" customFormat="1">
      <c r="A60" s="409" t="str">
        <f t="shared" si="2"/>
        <v>Movilidad Y Viaticos</v>
      </c>
      <c r="B60" s="410">
        <f t="shared" si="4"/>
        <v>425362</v>
      </c>
      <c r="C60" s="432">
        <f>+Tabla2[[#This Row],[31/3/2022]]/$B$3</f>
        <v>8.77626264932148E-5</v>
      </c>
      <c r="F60" s="409" t="s">
        <v>181</v>
      </c>
      <c r="G60" s="410">
        <v>425362</v>
      </c>
    </row>
    <row r="61" spans="1:7" s="409" customFormat="1">
      <c r="A61" s="409" t="str">
        <f t="shared" si="2"/>
        <v>Reparaciones Y Mantenimientos</v>
      </c>
      <c r="B61" s="410">
        <f t="shared" si="4"/>
        <v>211956</v>
      </c>
      <c r="C61" s="432">
        <f>+Tabla2[[#This Row],[31/3/2022]]/$B$3</f>
        <v>4.373172794230758E-5</v>
      </c>
      <c r="F61" s="409" t="s">
        <v>182</v>
      </c>
      <c r="G61" s="410">
        <v>211956</v>
      </c>
    </row>
    <row r="62" spans="1:7" s="409" customFormat="1">
      <c r="A62" s="409" t="str">
        <f t="shared" si="2"/>
        <v>Refrigerio Y Cafeteria</v>
      </c>
      <c r="B62" s="410">
        <f t="shared" si="4"/>
        <v>1423955</v>
      </c>
      <c r="C62" s="432">
        <f>+Tabla2[[#This Row],[31/3/2022]]/$B$3</f>
        <v>2.9379688549552069E-4</v>
      </c>
      <c r="F62" s="409" t="s">
        <v>183</v>
      </c>
      <c r="G62" s="410">
        <v>1423955</v>
      </c>
    </row>
    <row r="63" spans="1:7" s="409" customFormat="1">
      <c r="A63" s="409" t="str">
        <f t="shared" si="2"/>
        <v>Comunicaciones Y Progagandas</v>
      </c>
      <c r="B63" s="410">
        <f t="shared" si="4"/>
        <v>1090909</v>
      </c>
      <c r="C63" s="432">
        <f>+Tabla2[[#This Row],[31/3/2022]]/$B$3</f>
        <v>2.2508131686677809E-4</v>
      </c>
      <c r="F63" s="409" t="s">
        <v>184</v>
      </c>
      <c r="G63" s="410">
        <v>1090909</v>
      </c>
    </row>
    <row r="64" spans="1:7">
      <c r="A64" s="409" t="str">
        <f t="shared" si="2"/>
        <v>Papeleria E Impresos</v>
      </c>
      <c r="B64" s="410">
        <f>+G64</f>
        <v>510364</v>
      </c>
      <c r="C64" s="432">
        <f>+Tabla2[[#This Row],[31/3/2022]]/$B$3</f>
        <v>1.0530062654299885E-4</v>
      </c>
      <c r="D64" s="409"/>
      <c r="F64" t="s">
        <v>185</v>
      </c>
      <c r="G64" s="411">
        <v>510364</v>
      </c>
    </row>
    <row r="65" spans="1:7">
      <c r="A65" s="409" t="str">
        <f t="shared" ref="A65:A72" si="5">+F65</f>
        <v>Gastos No Deducibles</v>
      </c>
      <c r="B65" s="410">
        <f t="shared" ref="B65:B72" si="6">+G65</f>
        <v>492688</v>
      </c>
      <c r="C65" s="626">
        <f>+Tabla2[[#This Row],[31/3/2022]]/$B$3</f>
        <v>1.0165363366189037E-4</v>
      </c>
      <c r="D65" s="409"/>
      <c r="F65" t="s">
        <v>186</v>
      </c>
      <c r="G65" s="411">
        <v>492688</v>
      </c>
    </row>
    <row r="66" spans="1:7">
      <c r="A66" s="409" t="str">
        <f t="shared" si="5"/>
        <v>Dominios Y Suscripciones</v>
      </c>
      <c r="B66" s="410">
        <f t="shared" si="6"/>
        <v>160000</v>
      </c>
      <c r="C66" s="626">
        <f>+Tabla2[[#This Row],[31/3/2022]]/$B$3</f>
        <v>3.301192922478822E-5</v>
      </c>
      <c r="D66" s="409"/>
      <c r="F66" t="s">
        <v>187</v>
      </c>
      <c r="G66" s="411">
        <v>160000</v>
      </c>
    </row>
    <row r="67" spans="1:7">
      <c r="A67" s="409" t="str">
        <f t="shared" si="5"/>
        <v>Gastos administrativos</v>
      </c>
      <c r="B67" s="410">
        <f t="shared" si="6"/>
        <v>1122506</v>
      </c>
      <c r="C67" s="626">
        <f>+Tabla2[[#This Row],[31/3/2022]]/$B$3</f>
        <v>2.316005539150008E-4</v>
      </c>
      <c r="D67" s="409"/>
      <c r="F67" t="s">
        <v>188</v>
      </c>
      <c r="G67" s="411">
        <v>1122506</v>
      </c>
    </row>
    <row r="68" spans="1:7">
      <c r="A68" s="409" t="str">
        <f t="shared" si="5"/>
        <v>Gastos De Escribania</v>
      </c>
      <c r="B68" s="410">
        <f t="shared" si="6"/>
        <v>4489001</v>
      </c>
      <c r="C68" s="626">
        <f>+Tabla2[[#This Row],[31/3/2022]]/$B$3</f>
        <v>9.2619114563752215E-4</v>
      </c>
      <c r="D68" s="409"/>
      <c r="F68" t="s">
        <v>189</v>
      </c>
      <c r="G68" s="411">
        <v>4489001</v>
      </c>
    </row>
    <row r="69" spans="1:7">
      <c r="A69" s="409" t="str">
        <f t="shared" si="5"/>
        <v>Gastos Informaticos</v>
      </c>
      <c r="B69" s="410">
        <f t="shared" si="6"/>
        <v>96156</v>
      </c>
      <c r="C69" s="626">
        <f>+Tabla2[[#This Row],[31/3/2022]]/$B$3</f>
        <v>1.9839344165867102E-5</v>
      </c>
      <c r="D69" s="409"/>
      <c r="F69" t="s">
        <v>190</v>
      </c>
      <c r="G69" s="411">
        <v>96156</v>
      </c>
    </row>
    <row r="70" spans="1:7">
      <c r="A70" s="409" t="str">
        <f t="shared" si="5"/>
        <v>Gastos De Impuestos</v>
      </c>
      <c r="B70" s="410">
        <f t="shared" si="6"/>
        <v>1622568</v>
      </c>
      <c r="C70" s="626">
        <f>+Tabla2[[#This Row],[31/3/2022]]/$B$3</f>
        <v>3.3477562486503861E-4</v>
      </c>
      <c r="D70" s="409"/>
      <c r="F70" t="s">
        <v>191</v>
      </c>
      <c r="G70" s="411">
        <v>1622568</v>
      </c>
    </row>
    <row r="71" spans="1:7">
      <c r="A71" s="409" t="str">
        <f t="shared" si="5"/>
        <v>Multas Y Sanciones</v>
      </c>
      <c r="B71" s="410">
        <f t="shared" si="6"/>
        <v>22568</v>
      </c>
      <c r="C71" s="626">
        <f>+Tabla2[[#This Row],[31/3/2022]]/$B$3</f>
        <v>4.6563326171563791E-6</v>
      </c>
      <c r="D71" s="409"/>
      <c r="F71" t="s">
        <v>192</v>
      </c>
      <c r="G71" s="411">
        <v>22568</v>
      </c>
    </row>
    <row r="72" spans="1:7">
      <c r="A72" s="409" t="str">
        <f t="shared" si="5"/>
        <v>Impuestos, Patentes, Tasas Y Otras Contr</v>
      </c>
      <c r="B72" s="410">
        <f t="shared" si="6"/>
        <v>1600000</v>
      </c>
      <c r="C72" s="626">
        <f>+Tabla2[[#This Row],[31/3/2022]]/$B$3</f>
        <v>3.3011929224788223E-4</v>
      </c>
      <c r="D72" s="409"/>
      <c r="F72" t="s">
        <v>193</v>
      </c>
      <c r="G72" s="411">
        <v>1600000</v>
      </c>
    </row>
    <row r="73" spans="1:7">
      <c r="A73" s="409" t="str">
        <f t="shared" ref="A73:A85" si="7">+F73</f>
        <v>Gastos Bancarios Y Financieros</v>
      </c>
      <c r="B73" s="410">
        <f t="shared" ref="B73:B85" si="8">+G73</f>
        <v>146034573</v>
      </c>
      <c r="C73" s="626">
        <f>+Tabla2[[#This Row],[31/3/2022]]/$B$3</f>
        <v>3.0130518676551057E-2</v>
      </c>
      <c r="D73" s="409"/>
      <c r="F73" t="s">
        <v>194</v>
      </c>
      <c r="G73" s="411">
        <v>146034573</v>
      </c>
    </row>
    <row r="74" spans="1:7">
      <c r="A74" s="409" t="str">
        <f t="shared" si="7"/>
        <v>Intereses Pagados A Entidades Bancarias</v>
      </c>
      <c r="B74" s="410">
        <f t="shared" si="8"/>
        <v>4684366</v>
      </c>
      <c r="C74" s="626">
        <f>+Tabla2[[#This Row],[31/3/2022]]/$B$3</f>
        <v>9.6649974284377684E-4</v>
      </c>
      <c r="D74" s="409"/>
      <c r="F74" t="s">
        <v>195</v>
      </c>
      <c r="G74" s="411">
        <v>4684366</v>
      </c>
    </row>
    <row r="75" spans="1:7">
      <c r="A75" s="409" t="str">
        <f t="shared" si="7"/>
        <v>Gastos Bancarios Y Financieros</v>
      </c>
      <c r="B75" s="410">
        <f t="shared" si="8"/>
        <v>4684366</v>
      </c>
      <c r="C75" s="626">
        <f>+Tabla2[[#This Row],[31/3/2022]]/$B$3</f>
        <v>9.6649974284377684E-4</v>
      </c>
      <c r="D75" s="409"/>
      <c r="F75" t="s">
        <v>194</v>
      </c>
      <c r="G75" s="411">
        <v>4684366</v>
      </c>
    </row>
    <row r="76" spans="1:7">
      <c r="A76" s="409" t="str">
        <f t="shared" si="7"/>
        <v>Intereses Devengados - Otros</v>
      </c>
      <c r="B76" s="410">
        <f t="shared" si="8"/>
        <v>141350207</v>
      </c>
      <c r="C76" s="626">
        <f>+Tabla2[[#This Row],[31/3/2022]]/$B$3</f>
        <v>2.9164018933707278E-2</v>
      </c>
      <c r="D76" s="409"/>
      <c r="F76" t="s">
        <v>196</v>
      </c>
      <c r="G76" s="411">
        <v>141350207</v>
      </c>
    </row>
    <row r="77" spans="1:7">
      <c r="A77" s="409" t="str">
        <f t="shared" si="7"/>
        <v>Intereses Devengados - Otros</v>
      </c>
      <c r="B77" s="410">
        <f t="shared" si="8"/>
        <v>141350207</v>
      </c>
      <c r="C77" s="626">
        <f>+Tabla2[[#This Row],[31/3/2022]]/$B$3</f>
        <v>2.9164018933707278E-2</v>
      </c>
      <c r="D77" s="409"/>
      <c r="F77" t="s">
        <v>196</v>
      </c>
      <c r="G77" s="411">
        <v>141350207</v>
      </c>
    </row>
    <row r="78" spans="1:7" s="415" customFormat="1">
      <c r="A78" s="649" t="str">
        <f t="shared" si="7"/>
        <v>Diferencia De Cambio</v>
      </c>
      <c r="B78" s="650">
        <f t="shared" si="8"/>
        <v>2535587</v>
      </c>
      <c r="C78" s="651">
        <f>+Tabla2[[#This Row],[31/3/2022]]/$B$3</f>
        <v>5.2315386617058182E-4</v>
      </c>
      <c r="D78" s="649"/>
      <c r="F78" s="415" t="s">
        <v>197</v>
      </c>
      <c r="G78" s="629">
        <v>2535587</v>
      </c>
    </row>
    <row r="79" spans="1:7">
      <c r="A79" s="409" t="str">
        <f t="shared" si="7"/>
        <v>Diferencia De Cambio</v>
      </c>
      <c r="B79" s="410">
        <f t="shared" si="8"/>
        <v>2535587</v>
      </c>
      <c r="C79" s="626">
        <f>+Tabla2[[#This Row],[31/3/2022]]/$B$3</f>
        <v>5.2315386617058182E-4</v>
      </c>
      <c r="D79" s="409"/>
      <c r="F79" t="s">
        <v>197</v>
      </c>
      <c r="G79" s="411">
        <v>2535587</v>
      </c>
    </row>
    <row r="80" spans="1:7">
      <c r="A80" s="409" t="str">
        <f t="shared" si="7"/>
        <v>Utilidad Por Diferencia De Cambio</v>
      </c>
      <c r="B80" s="410">
        <f t="shared" si="8"/>
        <v>-28413172</v>
      </c>
      <c r="C80" s="626">
        <f>+Tabla2[[#This Row],[31/3/2022]]/$B$3</f>
        <v>-5.8623351444733402E-3</v>
      </c>
      <c r="D80" s="409"/>
      <c r="F80" t="s">
        <v>198</v>
      </c>
      <c r="G80" s="411">
        <v>-28413172</v>
      </c>
    </row>
    <row r="81" spans="1:7">
      <c r="A81" s="409" t="str">
        <f t="shared" si="7"/>
        <v>Perdida Por Diferencia De Cambio</v>
      </c>
      <c r="B81" s="410">
        <f t="shared" si="8"/>
        <v>30948759</v>
      </c>
      <c r="C81" s="626">
        <f>+Tabla2[[#This Row],[31/3/2022]]/$B$3</f>
        <v>6.3854890106439218E-3</v>
      </c>
      <c r="D81" s="409"/>
      <c r="F81" t="s">
        <v>199</v>
      </c>
      <c r="G81" s="411">
        <v>30948759</v>
      </c>
    </row>
    <row r="82" spans="1:7">
      <c r="A82" s="409" t="str">
        <f t="shared" si="7"/>
        <v>Depreciaciones Y Amortizaciones De Activ</v>
      </c>
      <c r="B82" s="410">
        <f t="shared" si="8"/>
        <v>20196280</v>
      </c>
      <c r="C82" s="626">
        <f>+Tabla2[[#This Row],[31/3/2022]]/$B$3</f>
        <v>4.1669885372750369E-3</v>
      </c>
      <c r="D82" s="409"/>
      <c r="F82" t="s">
        <v>200</v>
      </c>
      <c r="G82" s="411">
        <v>20196280</v>
      </c>
    </row>
    <row r="83" spans="1:7">
      <c r="A83" s="409" t="str">
        <f t="shared" si="7"/>
        <v>Depreciaciones Y Amortizaciones De Activ</v>
      </c>
      <c r="B83" s="410">
        <f t="shared" si="8"/>
        <v>20196280</v>
      </c>
      <c r="C83" s="626">
        <f>+Tabla2[[#This Row],[31/3/2022]]/$B$3</f>
        <v>4.1669885372750369E-3</v>
      </c>
      <c r="D83" s="409"/>
      <c r="F83" t="s">
        <v>200</v>
      </c>
      <c r="G83" s="411">
        <v>20196280</v>
      </c>
    </row>
    <row r="84" spans="1:7">
      <c r="A84" s="409" t="str">
        <f t="shared" si="7"/>
        <v>Depreciaciones Del Ejercicio</v>
      </c>
      <c r="B84" s="410">
        <f t="shared" si="8"/>
        <v>949819</v>
      </c>
      <c r="C84" s="626">
        <f>+Tabla2[[#This Row],[31/3/2022]]/$B$3</f>
        <v>1.9597098502724451E-4</v>
      </c>
      <c r="D84" s="409"/>
      <c r="F84" t="s">
        <v>201</v>
      </c>
      <c r="G84" s="411">
        <v>949819</v>
      </c>
    </row>
    <row r="85" spans="1:7">
      <c r="A85" s="409" t="str">
        <f t="shared" si="7"/>
        <v>Amortizaciones Del Ejercicio</v>
      </c>
      <c r="B85" s="410">
        <f t="shared" si="8"/>
        <v>19246461</v>
      </c>
      <c r="C85" s="626">
        <f>+Tabla2[[#This Row],[31/3/2022]]/$B$3</f>
        <v>3.9710175522477921E-3</v>
      </c>
      <c r="D85" s="409"/>
      <c r="F85" t="s">
        <v>202</v>
      </c>
      <c r="G85" s="411">
        <v>19246461</v>
      </c>
    </row>
    <row r="87" spans="1:7">
      <c r="A87" s="430" t="s">
        <v>203</v>
      </c>
      <c r="B87" s="431">
        <f>+B3-B28</f>
        <v>-169147451</v>
      </c>
      <c r="C87" s="425">
        <f>+B87/B3</f>
        <v>-3.4899273006033335E-2</v>
      </c>
    </row>
    <row r="89" spans="1:7">
      <c r="B89" s="424">
        <f>+B87-'Balance Gral 2022'!B102</f>
        <v>-0.30000001192092896</v>
      </c>
    </row>
  </sheetData>
  <pageMargins left="0.7" right="0.7" top="0.75" bottom="0.75" header="0.3" footer="0.3"/>
  <pageSetup paperSize="9" scale="95" fitToHeight="0" orientation="portrait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rgb="FF002060"/>
  </sheetPr>
  <dimension ref="B3:I24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3.42578125" style="28" customWidth="1"/>
    <col min="2" max="2" width="2.42578125" style="28" hidden="1" customWidth="1"/>
    <col min="3" max="3" width="28" style="28" bestFit="1" customWidth="1"/>
    <col min="4" max="4" width="15.140625" style="28" customWidth="1"/>
    <col min="5" max="5" width="15" style="101" customWidth="1"/>
    <col min="6" max="6" width="13.42578125" style="28" customWidth="1"/>
    <col min="7" max="7" width="14" style="42" customWidth="1"/>
    <col min="8" max="8" width="23.28515625" style="42" hidden="1" customWidth="1"/>
    <col min="9" max="10" width="14.28515625" style="28" customWidth="1"/>
    <col min="11" max="16384" width="11.42578125" style="28"/>
  </cols>
  <sheetData>
    <row r="3" spans="3:9" ht="15">
      <c r="C3" s="372" t="s">
        <v>986</v>
      </c>
      <c r="D3" s="180"/>
    </row>
    <row r="4" spans="3:9">
      <c r="C4" s="99"/>
    </row>
    <row r="5" spans="3:9">
      <c r="C5" s="713" t="s">
        <v>970</v>
      </c>
      <c r="D5" s="713"/>
      <c r="E5" s="713"/>
    </row>
    <row r="7" spans="3:9" ht="34.5" customHeight="1">
      <c r="C7" s="32" t="s">
        <v>824</v>
      </c>
      <c r="D7" s="117" t="s">
        <v>981</v>
      </c>
      <c r="E7" s="117" t="s">
        <v>982</v>
      </c>
    </row>
    <row r="8" spans="3:9">
      <c r="C8" s="36" t="s">
        <v>188</v>
      </c>
      <c r="D8" s="56">
        <f>8565961+'[7]Tarjetas de Créditos'!$F$23+227299-H8</f>
        <v>9642312</v>
      </c>
      <c r="E8" s="56"/>
      <c r="H8" s="42">
        <v>473152</v>
      </c>
      <c r="I8" s="118"/>
    </row>
    <row r="9" spans="3:9">
      <c r="C9" s="36" t="s">
        <v>987</v>
      </c>
      <c r="D9" s="56">
        <f>9545000-H9</f>
        <v>0</v>
      </c>
      <c r="E9" s="56"/>
      <c r="H9" s="42">
        <v>9545000</v>
      </c>
      <c r="I9" s="118"/>
    </row>
    <row r="10" spans="3:9">
      <c r="C10" s="36" t="s">
        <v>177</v>
      </c>
      <c r="D10" s="56">
        <f>1320000-H10</f>
        <v>0</v>
      </c>
      <c r="E10" s="56"/>
      <c r="H10" s="42">
        <v>1320000</v>
      </c>
      <c r="I10" s="118"/>
    </row>
    <row r="11" spans="3:9">
      <c r="C11" s="36" t="s">
        <v>988</v>
      </c>
      <c r="D11" s="56">
        <f>6000000+22000000+2640000+1814400-H11</f>
        <v>1814400</v>
      </c>
      <c r="E11" s="56"/>
      <c r="H11" s="42">
        <v>30640000</v>
      </c>
      <c r="I11" s="118"/>
    </row>
    <row r="12" spans="3:9">
      <c r="C12" s="36" t="s">
        <v>989</v>
      </c>
      <c r="D12" s="56">
        <v>678000</v>
      </c>
      <c r="E12" s="56"/>
      <c r="I12" s="118"/>
    </row>
    <row r="13" spans="3:9">
      <c r="C13" s="36" t="s">
        <v>990</v>
      </c>
      <c r="D13" s="56">
        <f>6374030</f>
        <v>6374030</v>
      </c>
      <c r="E13" s="56"/>
      <c r="I13" s="118"/>
    </row>
    <row r="14" spans="3:9">
      <c r="C14" s="36"/>
      <c r="D14" s="56"/>
      <c r="E14" s="56"/>
      <c r="H14" s="42">
        <v>41978152</v>
      </c>
      <c r="I14" s="118"/>
    </row>
    <row r="15" spans="3:9">
      <c r="C15" s="109" t="str">
        <f>+'NOTA K PRESTAMOS'!C11</f>
        <v>Total al  31/12/2022</v>
      </c>
      <c r="D15" s="106">
        <f>SUM(D8:D14)</f>
        <v>18508742</v>
      </c>
      <c r="E15" s="56">
        <v>0</v>
      </c>
      <c r="F15" s="42"/>
    </row>
    <row r="16" spans="3:9">
      <c r="C16" s="109" t="str">
        <f>+'NOTA K PRESTAMOS'!C12</f>
        <v>Total al 31/12/2021</v>
      </c>
      <c r="D16" s="106">
        <v>14504430</v>
      </c>
      <c r="E16" s="106">
        <v>0</v>
      </c>
      <c r="F16" s="42"/>
    </row>
    <row r="17" spans="4:4">
      <c r="D17" s="101"/>
    </row>
    <row r="18" spans="4:4">
      <c r="D18" s="42">
        <f>+D15-'BALANCE GRAL 31 12 22'!G11</f>
        <v>0</v>
      </c>
    </row>
    <row r="19" spans="4:4">
      <c r="D19" s="58"/>
    </row>
    <row r="21" spans="4:4">
      <c r="D21" s="42"/>
    </row>
    <row r="22" spans="4:4">
      <c r="D22" s="42"/>
    </row>
    <row r="23" spans="4:4">
      <c r="D23" s="58"/>
    </row>
    <row r="24" spans="4:4">
      <c r="D24" s="58"/>
    </row>
  </sheetData>
  <mergeCells count="1">
    <mergeCell ref="C5:E5"/>
  </mergeCells>
  <hyperlinks>
    <hyperlink ref="C3" location="'BALANCE GRAL 30_09_22'!A1" display="l)       Acreedores Varios (Corto y largo plazo)" xr:uid="{5E737BCA-950D-435D-924B-0EC48E0CE7FE}"/>
  </hyperlink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rgb="FF002060"/>
  </sheetPr>
  <dimension ref="B2:G45"/>
  <sheetViews>
    <sheetView showGridLines="0" topLeftCell="A14" zoomScale="110" zoomScaleNormal="110" workbookViewId="0">
      <selection activeCell="A3" sqref="A3"/>
    </sheetView>
  </sheetViews>
  <sheetFormatPr baseColWidth="10" defaultColWidth="11.42578125" defaultRowHeight="12"/>
  <cols>
    <col min="1" max="1" width="5" style="119" customWidth="1"/>
    <col min="2" max="2" width="47.140625" style="119" customWidth="1"/>
    <col min="3" max="3" width="21.42578125" style="119" bestFit="1" customWidth="1"/>
    <col min="4" max="4" width="19.42578125" style="119" customWidth="1"/>
    <col min="5" max="5" width="11.42578125" style="119"/>
    <col min="6" max="6" width="13.42578125" style="119" customWidth="1"/>
    <col min="7" max="16384" width="11.42578125" style="119"/>
  </cols>
  <sheetData>
    <row r="2" spans="2:4" ht="15">
      <c r="C2" s="180"/>
    </row>
    <row r="3" spans="2:4" ht="15">
      <c r="B3" s="372" t="s">
        <v>991</v>
      </c>
    </row>
    <row r="4" spans="2:4">
      <c r="B4" s="120"/>
    </row>
    <row r="5" spans="2:4">
      <c r="B5" s="713" t="s">
        <v>970</v>
      </c>
      <c r="C5" s="713"/>
      <c r="D5" s="713"/>
    </row>
    <row r="7" spans="2:4">
      <c r="B7" s="111" t="s">
        <v>824</v>
      </c>
      <c r="C7" s="111" t="s">
        <v>992</v>
      </c>
      <c r="D7" s="111" t="s">
        <v>993</v>
      </c>
    </row>
    <row r="8" spans="2:4" ht="24">
      <c r="B8" s="121" t="s">
        <v>994</v>
      </c>
      <c r="C8" s="122">
        <f>+'BALANCE GRAL 31 12 22'!G10</f>
        <v>317004338</v>
      </c>
      <c r="D8" s="123">
        <v>0</v>
      </c>
    </row>
    <row r="9" spans="2:4">
      <c r="B9" s="124" t="str">
        <f>+'NOTA L ACREED VARIOS'!C15</f>
        <v>Total al  31/12/2022</v>
      </c>
      <c r="C9" s="126">
        <f>SUM(C8:C8)</f>
        <v>317004338</v>
      </c>
      <c r="D9" s="123">
        <v>0</v>
      </c>
    </row>
    <row r="10" spans="2:4">
      <c r="B10" s="124" t="str">
        <f>+'NOTA L ACREED VARIOS'!C16</f>
        <v>Total al 31/12/2021</v>
      </c>
      <c r="C10" s="126">
        <v>5965366</v>
      </c>
      <c r="D10" s="123">
        <v>0</v>
      </c>
    </row>
    <row r="11" spans="2:4">
      <c r="C11" s="392">
        <f>+C9-'BALANCE GRAL 31 12 22'!G10</f>
        <v>0</v>
      </c>
    </row>
    <row r="12" spans="2:4">
      <c r="B12" s="120" t="s">
        <v>995</v>
      </c>
    </row>
    <row r="13" spans="2:4" ht="24" customHeight="1">
      <c r="B13" s="713" t="s">
        <v>996</v>
      </c>
      <c r="C13" s="713"/>
      <c r="D13" s="713"/>
    </row>
    <row r="14" spans="2:4">
      <c r="B14" s="127"/>
    </row>
    <row r="15" spans="2:4" ht="24" customHeight="1">
      <c r="B15" s="726" t="s">
        <v>997</v>
      </c>
      <c r="C15" s="726"/>
      <c r="D15" s="726"/>
    </row>
    <row r="16" spans="2:4">
      <c r="B16" s="120"/>
    </row>
    <row r="17" spans="2:7">
      <c r="B17" s="713" t="s">
        <v>970</v>
      </c>
      <c r="C17" s="713"/>
      <c r="D17" s="713"/>
    </row>
    <row r="18" spans="2:7">
      <c r="B18" s="120"/>
    </row>
    <row r="19" spans="2:7" ht="24">
      <c r="B19" s="111" t="s">
        <v>998</v>
      </c>
      <c r="C19" s="111" t="s">
        <v>999</v>
      </c>
      <c r="D19" s="111" t="s">
        <v>1000</v>
      </c>
      <c r="E19" s="111" t="s">
        <v>1001</v>
      </c>
      <c r="F19" s="111" t="s">
        <v>992</v>
      </c>
      <c r="G19" s="111" t="s">
        <v>993</v>
      </c>
    </row>
    <row r="20" spans="2:7" ht="24">
      <c r="B20" s="121" t="s">
        <v>1002</v>
      </c>
      <c r="C20" s="121" t="s">
        <v>1003</v>
      </c>
      <c r="D20" s="121" t="s">
        <v>177</v>
      </c>
      <c r="E20" s="121" t="s">
        <v>1004</v>
      </c>
      <c r="F20" s="122">
        <v>1320000</v>
      </c>
      <c r="G20" s="123">
        <v>0</v>
      </c>
    </row>
    <row r="21" spans="2:7">
      <c r="B21" s="121" t="s">
        <v>1005</v>
      </c>
      <c r="C21" s="121" t="s">
        <v>1006</v>
      </c>
      <c r="D21" s="121" t="s">
        <v>1007</v>
      </c>
      <c r="E21" s="121" t="s">
        <v>1008</v>
      </c>
      <c r="F21" s="122">
        <v>2640000</v>
      </c>
      <c r="G21" s="123"/>
    </row>
    <row r="22" spans="2:7" ht="24">
      <c r="B22" s="121" t="s">
        <v>1009</v>
      </c>
      <c r="C22" s="121" t="s">
        <v>1010</v>
      </c>
      <c r="D22" s="121" t="s">
        <v>1011</v>
      </c>
      <c r="E22" s="121" t="s">
        <v>1012</v>
      </c>
      <c r="F22" s="122">
        <v>22000000</v>
      </c>
      <c r="G22" s="123"/>
    </row>
    <row r="23" spans="2:7">
      <c r="B23" s="121" t="s">
        <v>1013</v>
      </c>
      <c r="C23" s="121" t="s">
        <v>321</v>
      </c>
      <c r="D23" s="121" t="s">
        <v>1014</v>
      </c>
      <c r="E23" s="121" t="s">
        <v>1015</v>
      </c>
      <c r="F23" s="122">
        <v>473152</v>
      </c>
      <c r="G23" s="123"/>
    </row>
    <row r="24" spans="2:7" ht="24">
      <c r="B24" s="121" t="s">
        <v>1016</v>
      </c>
      <c r="C24" s="121" t="s">
        <v>1010</v>
      </c>
      <c r="D24" s="121" t="s">
        <v>1017</v>
      </c>
      <c r="E24" s="121" t="s">
        <v>1018</v>
      </c>
      <c r="F24" s="122">
        <v>9545000</v>
      </c>
      <c r="G24" s="123"/>
    </row>
    <row r="25" spans="2:7" ht="24">
      <c r="B25" s="121" t="s">
        <v>1019</v>
      </c>
      <c r="C25" s="121" t="s">
        <v>1010</v>
      </c>
      <c r="D25" s="121" t="s">
        <v>1020</v>
      </c>
      <c r="E25" s="121" t="s">
        <v>1021</v>
      </c>
      <c r="F25" s="122">
        <v>6000000</v>
      </c>
      <c r="G25" s="123"/>
    </row>
    <row r="26" spans="2:7">
      <c r="B26" s="124" t="str">
        <f>+B9</f>
        <v>Total al  31/12/2022</v>
      </c>
      <c r="C26" s="124"/>
      <c r="D26" s="124"/>
      <c r="E26" s="124"/>
      <c r="F26" s="318">
        <f>SUM(F20:F25)</f>
        <v>41978152</v>
      </c>
      <c r="G26" s="123">
        <v>0</v>
      </c>
    </row>
    <row r="27" spans="2:7">
      <c r="B27" s="124" t="str">
        <f>+B10</f>
        <v>Total al 31/12/2021</v>
      </c>
      <c r="C27" s="124"/>
      <c r="D27" s="124"/>
      <c r="E27" s="124"/>
      <c r="F27" s="126">
        <v>440000</v>
      </c>
      <c r="G27" s="123">
        <v>0</v>
      </c>
    </row>
    <row r="28" spans="2:7">
      <c r="B28" s="128"/>
      <c r="C28" s="129"/>
      <c r="D28" s="130"/>
      <c r="F28" s="392"/>
    </row>
    <row r="29" spans="2:7" ht="24" customHeight="1">
      <c r="B29" s="725" t="s">
        <v>1022</v>
      </c>
      <c r="C29" s="725"/>
      <c r="D29" s="725"/>
      <c r="E29" s="136"/>
    </row>
    <row r="30" spans="2:7">
      <c r="B30" s="713" t="s">
        <v>970</v>
      </c>
      <c r="C30" s="713"/>
      <c r="D30" s="713"/>
    </row>
    <row r="31" spans="2:7">
      <c r="B31" s="120"/>
      <c r="C31" s="120"/>
      <c r="D31" s="120"/>
    </row>
    <row r="32" spans="2:7" ht="24" customHeight="1">
      <c r="B32" s="111" t="s">
        <v>872</v>
      </c>
      <c r="C32" s="111" t="s">
        <v>1000</v>
      </c>
      <c r="D32" s="111" t="s">
        <v>1023</v>
      </c>
      <c r="E32" s="111" t="s">
        <v>992</v>
      </c>
      <c r="F32" s="111" t="s">
        <v>993</v>
      </c>
    </row>
    <row r="33" spans="2:6">
      <c r="B33" s="121"/>
      <c r="C33" s="722" t="s">
        <v>1024</v>
      </c>
      <c r="D33" s="723"/>
      <c r="E33" s="723"/>
      <c r="F33" s="724"/>
    </row>
    <row r="34" spans="2:6">
      <c r="B34" s="124" t="str">
        <f>+B26</f>
        <v>Total al  31/12/2022</v>
      </c>
      <c r="C34" s="124"/>
      <c r="D34" s="124"/>
      <c r="E34" s="318">
        <f>SUM(E33:E33)</f>
        <v>0</v>
      </c>
      <c r="F34" s="123">
        <v>0</v>
      </c>
    </row>
    <row r="35" spans="2:6">
      <c r="B35" s="124" t="str">
        <f>+B27</f>
        <v>Total al 31/12/2021</v>
      </c>
      <c r="C35" s="124"/>
      <c r="D35" s="124"/>
      <c r="E35" s="126">
        <v>0</v>
      </c>
      <c r="F35" s="123">
        <v>0</v>
      </c>
    </row>
    <row r="37" spans="2:6" ht="15">
      <c r="B37" s="620" t="s">
        <v>1025</v>
      </c>
    </row>
    <row r="38" spans="2:6">
      <c r="B38" s="120"/>
    </row>
    <row r="39" spans="2:6">
      <c r="B39" s="713" t="s">
        <v>970</v>
      </c>
      <c r="C39" s="713"/>
      <c r="D39" s="713"/>
    </row>
    <row r="41" spans="2:6">
      <c r="B41" s="38" t="s">
        <v>824</v>
      </c>
      <c r="C41" s="117" t="s">
        <v>1026</v>
      </c>
      <c r="D41" s="117" t="s">
        <v>1027</v>
      </c>
    </row>
    <row r="42" spans="2:6">
      <c r="B42" s="131" t="s">
        <v>1028</v>
      </c>
      <c r="C42" s="133">
        <f>+'BALANCE GRAL 31 12 22'!G34</f>
        <v>454881917</v>
      </c>
      <c r="D42" s="132">
        <v>0</v>
      </c>
    </row>
    <row r="43" spans="2:6">
      <c r="B43" s="124" t="str">
        <f>+B26</f>
        <v>Total al  31/12/2022</v>
      </c>
      <c r="C43" s="125">
        <f>SUM(C42:C42)</f>
        <v>454881917</v>
      </c>
      <c r="D43" s="132">
        <v>0</v>
      </c>
    </row>
    <row r="44" spans="2:6">
      <c r="B44" s="124" t="str">
        <f>+B27</f>
        <v>Total al 31/12/2021</v>
      </c>
      <c r="C44" s="134">
        <v>297828231</v>
      </c>
      <c r="D44" s="132">
        <v>0</v>
      </c>
    </row>
    <row r="45" spans="2:6">
      <c r="C45" s="136">
        <f>+C43-'BALANCE GRAL 31 12 22'!G34</f>
        <v>0</v>
      </c>
    </row>
  </sheetData>
  <mergeCells count="8">
    <mergeCell ref="B39:D39"/>
    <mergeCell ref="C33:F33"/>
    <mergeCell ref="B30:D30"/>
    <mergeCell ref="B13:D13"/>
    <mergeCell ref="B5:D5"/>
    <mergeCell ref="B17:D17"/>
    <mergeCell ref="B29:D29"/>
    <mergeCell ref="B15:D15"/>
  </mergeCells>
  <phoneticPr fontId="56" type="noConversion"/>
  <hyperlinks>
    <hyperlink ref="B3" location="'BALANCE GRAL 30_09_22'!A1" display="m)       Acreedores por Intermediación. Corto y Largo Plazo. " xr:uid="{198D39C7-CD71-421C-A0C6-BAD954F3461D}"/>
    <hyperlink ref="B15:D15" location="'BALANCE GRAL 30_06_22'!A1" display="o)       Cuentas a Pagar a personas y empresas relacionadas (Corto y Largo plazo)" xr:uid="{29F1541F-B515-46A8-948B-CA95EA333B24}"/>
    <hyperlink ref="B37" location="'BALANCE GRAL 30_09_22'!A1" display="q)       Otros Pasivos Corrientes y No Corrientes" xr:uid="{8DB6AFE3-B713-47DB-AA12-4930F1951995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rgb="FF002060"/>
  </sheetPr>
  <dimension ref="B1:I26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2.42578125" style="119" customWidth="1"/>
    <col min="2" max="2" width="37.7109375" style="119" customWidth="1"/>
    <col min="3" max="3" width="27" style="119" bestFit="1" customWidth="1"/>
    <col min="4" max="4" width="23.28515625" style="119" bestFit="1" customWidth="1"/>
    <col min="5" max="5" width="21.7109375" style="135" customWidth="1"/>
    <col min="6" max="6" width="20.42578125" style="135" customWidth="1"/>
    <col min="7" max="7" width="14.28515625" style="119" bestFit="1" customWidth="1"/>
    <col min="8" max="8" width="14" style="136" bestFit="1" customWidth="1"/>
    <col min="9" max="16384" width="11.42578125" style="119"/>
  </cols>
  <sheetData>
    <row r="1" spans="2:6" ht="15">
      <c r="C1" s="180"/>
    </row>
    <row r="3" spans="2:6">
      <c r="B3" s="729" t="s">
        <v>1029</v>
      </c>
      <c r="C3" s="729"/>
      <c r="D3" s="729"/>
      <c r="E3" s="729"/>
      <c r="F3" s="729"/>
    </row>
    <row r="4" spans="2:6">
      <c r="B4" s="354"/>
      <c r="C4" s="354"/>
      <c r="D4" s="354"/>
      <c r="E4" s="354"/>
      <c r="F4" s="354"/>
    </row>
    <row r="5" spans="2:6" ht="12" customHeight="1">
      <c r="B5" s="713" t="s">
        <v>970</v>
      </c>
      <c r="C5" s="713"/>
      <c r="D5" s="713"/>
      <c r="E5" s="713"/>
      <c r="F5" s="713"/>
    </row>
    <row r="6" spans="2:6" ht="12.75" thickBot="1"/>
    <row r="7" spans="2:6" ht="35.25" customHeight="1" thickBot="1">
      <c r="B7" s="331" t="s">
        <v>1030</v>
      </c>
      <c r="C7" s="137"/>
      <c r="D7" s="138"/>
      <c r="E7" s="727" t="s">
        <v>1031</v>
      </c>
      <c r="F7" s="728"/>
    </row>
    <row r="8" spans="2:6">
      <c r="B8" s="139" t="s">
        <v>998</v>
      </c>
      <c r="C8" s="139" t="s">
        <v>999</v>
      </c>
      <c r="D8" s="139" t="s">
        <v>1000</v>
      </c>
      <c r="E8" s="140" t="str">
        <f>+'NOTAS M-Q ACREED y CTAS A PAG'!B9</f>
        <v>Total al  31/12/2022</v>
      </c>
      <c r="F8" s="140" t="str">
        <f>+'NOTAS M-Q ACREED y CTAS A PAG'!B10</f>
        <v>Total al 31/12/2021</v>
      </c>
    </row>
    <row r="9" spans="2:6" ht="24">
      <c r="B9" s="141" t="s">
        <v>1032</v>
      </c>
      <c r="C9" s="141" t="s">
        <v>1033</v>
      </c>
      <c r="D9" s="141" t="s">
        <v>1034</v>
      </c>
      <c r="E9" s="142">
        <v>28520000</v>
      </c>
      <c r="F9" s="142">
        <v>28520000</v>
      </c>
    </row>
    <row r="10" spans="2:6" ht="24">
      <c r="B10" s="141" t="s">
        <v>1035</v>
      </c>
      <c r="C10" s="141" t="s">
        <v>1036</v>
      </c>
      <c r="D10" s="141" t="s">
        <v>1037</v>
      </c>
      <c r="E10" s="142">
        <f>+'Balance Gral 2022'!B41</f>
        <v>111400000</v>
      </c>
      <c r="F10" s="142">
        <v>0</v>
      </c>
    </row>
    <row r="11" spans="2:6">
      <c r="B11" s="405" t="str">
        <f>+'NOTAS M-Q ACREED y CTAS A PAG'!B20</f>
        <v>Ysaias López Gómez</v>
      </c>
      <c r="C11" s="405" t="str">
        <f>+'NOTAS M-Q ACREED y CTAS A PAG'!C20</f>
        <v>Sindico</v>
      </c>
      <c r="D11" s="405" t="str">
        <f>+'NOTAS M-Q ACREED y CTAS A PAG'!D20</f>
        <v>Honorarios Profesionales</v>
      </c>
      <c r="E11" s="142">
        <f>+'NOTAS M-Q ACREED y CTAS A PAG'!F20</f>
        <v>1320000</v>
      </c>
      <c r="F11" s="142">
        <v>1320000</v>
      </c>
    </row>
    <row r="12" spans="2:6">
      <c r="B12" s="405" t="str">
        <f>+'NOTAS M-Q ACREED y CTAS A PAG'!B21</f>
        <v>Hp Auditores &amp; Contadores</v>
      </c>
      <c r="C12" s="405" t="str">
        <f>+'NOTAS M-Q ACREED y CTAS A PAG'!C21</f>
        <v>Auditores</v>
      </c>
      <c r="D12" s="405" t="str">
        <f>+'NOTAS M-Q ACREED y CTAS A PAG'!D21</f>
        <v>Servicios de Auditoria</v>
      </c>
      <c r="E12" s="142">
        <f>+'NOTAS M-Q ACREED y CTAS A PAG'!F21</f>
        <v>2640000</v>
      </c>
      <c r="F12" s="142">
        <v>0</v>
      </c>
    </row>
    <row r="13" spans="2:6">
      <c r="B13" s="405" t="str">
        <f>+'NOTAS M-Q ACREED y CTAS A PAG'!B22</f>
        <v>In Positiva SA</v>
      </c>
      <c r="C13" s="405" t="str">
        <f>+'NOTAS M-Q ACREED y CTAS A PAG'!C22</f>
        <v>Empresa Vinculada</v>
      </c>
      <c r="D13" s="405" t="str">
        <f>+'NOTAS M-Q ACREED y CTAS A PAG'!D22</f>
        <v>Servicios de Contabilidad</v>
      </c>
      <c r="E13" s="142">
        <f>+'NOTAS M-Q ACREED y CTAS A PAG'!F22</f>
        <v>22000000</v>
      </c>
      <c r="F13" s="142">
        <v>0</v>
      </c>
    </row>
    <row r="14" spans="2:6">
      <c r="B14" s="405" t="str">
        <f>+'NOTAS M-Q ACREED y CTAS A PAG'!B23</f>
        <v>GIUSEPPE ANTONIO SAURINI BUEY</v>
      </c>
      <c r="C14" s="405" t="str">
        <f>+'NOTAS M-Q ACREED y CTAS A PAG'!C23</f>
        <v>Presidente</v>
      </c>
      <c r="D14" s="405" t="str">
        <f>+'NOTAS M-Q ACREED y CTAS A PAG'!D23</f>
        <v>Recupero de Gastos</v>
      </c>
      <c r="E14" s="142">
        <f>+'NOTAS M-Q ACREED y CTAS A PAG'!F23</f>
        <v>473152</v>
      </c>
      <c r="F14" s="142">
        <v>0</v>
      </c>
    </row>
    <row r="15" spans="2:6">
      <c r="B15" s="405" t="str">
        <f>+'NOTAS M-Q ACREED y CTAS A PAG'!B24</f>
        <v>Market Data</v>
      </c>
      <c r="C15" s="405" t="str">
        <f>+'NOTAS M-Q ACREED y CTAS A PAG'!C24</f>
        <v>Empresa Vinculada</v>
      </c>
      <c r="D15" s="405" t="str">
        <f>+'NOTAS M-Q ACREED y CTAS A PAG'!D24</f>
        <v>Capacitación al Personal</v>
      </c>
      <c r="E15" s="142">
        <f>+'NOTAS M-Q ACREED y CTAS A PAG'!F24</f>
        <v>9545000</v>
      </c>
      <c r="F15" s="142"/>
    </row>
    <row r="16" spans="2:6" ht="24">
      <c r="B16" s="405" t="str">
        <f>+'NOTAS M-Q ACREED y CTAS A PAG'!B25</f>
        <v>Metis</v>
      </c>
      <c r="C16" s="405" t="str">
        <f>+'NOTAS M-Q ACREED y CTAS A PAG'!C25</f>
        <v>Empresa Vinculada</v>
      </c>
      <c r="D16" s="405" t="str">
        <f>+'NOTAS M-Q ACREED y CTAS A PAG'!D25</f>
        <v>Servicios de Marketing Digital</v>
      </c>
      <c r="E16" s="142">
        <f>+'NOTAS M-Q ACREED y CTAS A PAG'!F25</f>
        <v>6000000</v>
      </c>
      <c r="F16" s="142"/>
    </row>
    <row r="17" spans="2:9">
      <c r="B17" s="405"/>
      <c r="C17" s="405"/>
      <c r="D17" s="405">
        <f>+'NOTAS M-Q ACREED y CTAS A PAG'!D26</f>
        <v>0</v>
      </c>
      <c r="E17" s="142"/>
      <c r="F17" s="142"/>
    </row>
    <row r="18" spans="2:9">
      <c r="B18" s="124" t="str">
        <f>+'NOTAS M-Q ACREED y CTAS A PAG'!B43</f>
        <v>Total al  31/12/2022</v>
      </c>
      <c r="C18" s="54"/>
      <c r="D18" s="141"/>
      <c r="E18" s="143">
        <f>SUM(E9:E16)</f>
        <v>181898152</v>
      </c>
      <c r="F18" s="144">
        <v>0</v>
      </c>
      <c r="G18" s="145">
        <f>(E18-E10-E9)-'NOTAS M-Q ACREED y CTAS A PAG'!F26</f>
        <v>0</v>
      </c>
      <c r="I18" s="145"/>
    </row>
    <row r="19" spans="2:9">
      <c r="B19" s="124" t="str">
        <f>+'NOTAS M-Q ACREED y CTAS A PAG'!B27</f>
        <v>Total al 31/12/2021</v>
      </c>
      <c r="C19" s="333">
        <v>0</v>
      </c>
      <c r="D19" s="333">
        <v>0</v>
      </c>
      <c r="E19" s="143">
        <v>0</v>
      </c>
      <c r="F19" s="143">
        <f>SUM(F9:F18)</f>
        <v>29840000</v>
      </c>
      <c r="I19" s="145"/>
    </row>
    <row r="20" spans="2:9">
      <c r="B20" s="128"/>
      <c r="E20" s="332"/>
      <c r="F20" s="332"/>
      <c r="I20" s="145"/>
    </row>
    <row r="21" spans="2:9" ht="12.75" thickBot="1"/>
    <row r="22" spans="2:9" ht="12.75" thickBot="1">
      <c r="B22" s="331" t="s">
        <v>1038</v>
      </c>
      <c r="C22" s="331"/>
      <c r="D22" s="138"/>
      <c r="E22" s="727"/>
      <c r="F22" s="728"/>
      <c r="G22" s="609"/>
    </row>
    <row r="23" spans="2:9" ht="24">
      <c r="B23" s="38" t="s">
        <v>998</v>
      </c>
      <c r="C23" s="117" t="s">
        <v>999</v>
      </c>
      <c r="D23" s="117" t="s">
        <v>1000</v>
      </c>
      <c r="E23" s="117" t="s">
        <v>1001</v>
      </c>
      <c r="F23" s="117" t="s">
        <v>934</v>
      </c>
      <c r="G23" s="117" t="s">
        <v>1039</v>
      </c>
    </row>
    <row r="24" spans="2:9">
      <c r="B24" s="403">
        <v>0</v>
      </c>
      <c r="C24" s="404">
        <v>0</v>
      </c>
      <c r="D24" s="404">
        <v>0</v>
      </c>
      <c r="E24" s="133">
        <v>0</v>
      </c>
      <c r="F24" s="133">
        <v>0</v>
      </c>
      <c r="G24" s="133">
        <v>0</v>
      </c>
    </row>
    <row r="25" spans="2:9">
      <c r="B25" s="124" t="str">
        <f>+B18</f>
        <v>Total al  31/12/2022</v>
      </c>
      <c r="C25" s="123">
        <v>0</v>
      </c>
      <c r="D25" s="123">
        <v>0</v>
      </c>
      <c r="E25" s="123">
        <v>0</v>
      </c>
      <c r="F25" s="123">
        <v>0</v>
      </c>
      <c r="G25" s="318">
        <v>0</v>
      </c>
    </row>
    <row r="26" spans="2:9">
      <c r="B26" s="124" t="str">
        <f>+B19</f>
        <v>Total al 31/12/2021</v>
      </c>
      <c r="C26" s="123">
        <v>0</v>
      </c>
      <c r="D26" s="123">
        <v>0</v>
      </c>
      <c r="E26" s="123">
        <v>0</v>
      </c>
      <c r="F26" s="123">
        <v>0</v>
      </c>
      <c r="G26" s="318">
        <v>0</v>
      </c>
      <c r="H26" s="136">
        <v>0</v>
      </c>
    </row>
  </sheetData>
  <autoFilter ref="B8:F19" xr:uid="{00000000-0009-0000-0000-000011000000}"/>
  <mergeCells count="4">
    <mergeCell ref="E7:F7"/>
    <mergeCell ref="B3:F3"/>
    <mergeCell ref="E22:F22"/>
    <mergeCell ref="B5:F5"/>
  </mergeCells>
  <pageMargins left="0.7" right="0.7" top="0.75" bottom="0.75" header="0.3" footer="0.3"/>
  <pageSetup paperSize="9" orientation="portrait" horizontalDpi="300" verticalDpi="300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002060"/>
  </sheetPr>
  <dimension ref="B1:O32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6.85546875" style="28" customWidth="1"/>
    <col min="2" max="2" width="41.42578125" style="28" customWidth="1"/>
    <col min="3" max="3" width="13" style="42" bestFit="1" customWidth="1"/>
    <col min="4" max="4" width="13" style="28" bestFit="1" customWidth="1"/>
    <col min="5" max="5" width="11.42578125" style="28"/>
    <col min="6" max="6" width="12" style="28" bestFit="1" customWidth="1"/>
    <col min="7" max="8" width="11.42578125" style="28"/>
    <col min="9" max="9" width="12.42578125" style="28" bestFit="1" customWidth="1"/>
    <col min="10" max="16384" width="11.42578125" style="28"/>
  </cols>
  <sheetData>
    <row r="1" spans="2:8" ht="15">
      <c r="B1" s="180"/>
    </row>
    <row r="2" spans="2:8" ht="15">
      <c r="B2" s="180"/>
    </row>
    <row r="3" spans="2:8">
      <c r="B3" s="99" t="s">
        <v>1040</v>
      </c>
    </row>
    <row r="4" spans="2:8">
      <c r="B4" s="99"/>
    </row>
    <row r="5" spans="2:8" ht="12" customHeight="1">
      <c r="B5" s="713" t="s">
        <v>970</v>
      </c>
      <c r="C5" s="713"/>
      <c r="D5" s="713"/>
      <c r="E5" s="366"/>
      <c r="F5" s="366"/>
    </row>
    <row r="6" spans="2:8">
      <c r="B6" s="99"/>
    </row>
    <row r="7" spans="2:8">
      <c r="B7" s="90" t="s">
        <v>1041</v>
      </c>
      <c r="C7" s="146" t="s">
        <v>1042</v>
      </c>
      <c r="D7" s="90" t="s">
        <v>1043</v>
      </c>
    </row>
    <row r="8" spans="2:8">
      <c r="B8" s="147" t="s">
        <v>1044</v>
      </c>
      <c r="C8" s="148">
        <v>230957636</v>
      </c>
      <c r="D8" s="149"/>
      <c r="F8" s="42"/>
      <c r="G8" s="42"/>
    </row>
    <row r="9" spans="2:8">
      <c r="B9" s="147" t="s">
        <v>322</v>
      </c>
      <c r="C9" s="149">
        <v>158229</v>
      </c>
      <c r="D9" s="149">
        <v>165530230</v>
      </c>
      <c r="F9" s="42"/>
      <c r="G9" s="42"/>
    </row>
    <row r="10" spans="2:8">
      <c r="B10" s="147" t="s">
        <v>1045</v>
      </c>
      <c r="C10" s="149">
        <v>0</v>
      </c>
      <c r="D10" s="93">
        <v>64015151</v>
      </c>
      <c r="F10" s="42"/>
      <c r="G10" s="42"/>
    </row>
    <row r="11" spans="2:8">
      <c r="B11" s="147" t="s">
        <v>324</v>
      </c>
      <c r="C11" s="149">
        <v>0</v>
      </c>
      <c r="D11" s="93">
        <v>153636364</v>
      </c>
      <c r="F11" s="42"/>
      <c r="G11" s="42"/>
      <c r="H11" s="58"/>
    </row>
    <row r="12" spans="2:8">
      <c r="B12" s="147" t="s">
        <v>325</v>
      </c>
      <c r="C12" s="149">
        <v>101000</v>
      </c>
      <c r="D12" s="93">
        <v>224545455</v>
      </c>
      <c r="F12" s="42"/>
      <c r="G12" s="42"/>
    </row>
    <row r="13" spans="2:8">
      <c r="B13" s="147" t="s">
        <v>1046</v>
      </c>
      <c r="C13" s="149">
        <v>0</v>
      </c>
      <c r="D13" s="93">
        <v>9600000</v>
      </c>
      <c r="F13" s="42"/>
      <c r="G13" s="42"/>
    </row>
    <row r="14" spans="2:8">
      <c r="B14" s="147" t="s">
        <v>1002</v>
      </c>
      <c r="C14" s="149">
        <v>0</v>
      </c>
      <c r="D14" s="93">
        <v>4800000</v>
      </c>
      <c r="F14" s="42"/>
      <c r="G14" s="42"/>
    </row>
    <row r="15" spans="2:8">
      <c r="B15" s="147" t="s">
        <v>1047</v>
      </c>
      <c r="C15" s="149">
        <f>1604455</f>
        <v>1604455</v>
      </c>
      <c r="D15" s="93">
        <v>0</v>
      </c>
      <c r="F15" s="42"/>
      <c r="G15" s="42"/>
    </row>
    <row r="16" spans="2:8">
      <c r="B16" s="147" t="s">
        <v>1048</v>
      </c>
      <c r="C16" s="149">
        <v>1220455</v>
      </c>
      <c r="D16" s="93">
        <v>0</v>
      </c>
      <c r="F16" s="42"/>
      <c r="G16" s="42"/>
    </row>
    <row r="17" spans="2:15">
      <c r="B17" s="147" t="s">
        <v>1049</v>
      </c>
      <c r="C17" s="149">
        <v>0</v>
      </c>
      <c r="D17" s="93">
        <v>6276909</v>
      </c>
      <c r="F17" s="42"/>
      <c r="G17" s="42"/>
    </row>
    <row r="18" spans="2:15">
      <c r="B18" s="147" t="s">
        <v>1016</v>
      </c>
      <c r="C18" s="149">
        <v>0</v>
      </c>
      <c r="D18" s="93">
        <v>18110117</v>
      </c>
      <c r="F18" s="42"/>
      <c r="G18" s="42"/>
    </row>
    <row r="19" spans="2:15">
      <c r="B19" s="147" t="s">
        <v>1019</v>
      </c>
      <c r="C19" s="149">
        <v>0</v>
      </c>
      <c r="D19" s="93">
        <v>14545454</v>
      </c>
      <c r="F19" s="42"/>
      <c r="G19" s="42"/>
    </row>
    <row r="20" spans="2:15">
      <c r="B20" s="147" t="s">
        <v>1050</v>
      </c>
      <c r="C20" s="149">
        <v>0</v>
      </c>
      <c r="D20" s="93">
        <v>69054545</v>
      </c>
      <c r="F20" s="42"/>
      <c r="G20" s="42"/>
    </row>
    <row r="21" spans="2:15">
      <c r="B21" s="109" t="str">
        <f>+'NOTA R SALDOS Y TRANSACC'!B25</f>
        <v>Total al  31/12/2022</v>
      </c>
      <c r="C21" s="150">
        <f>SUM(C8:C20)</f>
        <v>234041775</v>
      </c>
      <c r="D21" s="150">
        <f>SUM(D8:D20)</f>
        <v>730114225</v>
      </c>
    </row>
    <row r="22" spans="2:15">
      <c r="B22" s="109" t="str">
        <f>+'NOTA R SALDOS Y TRANSACC'!B26</f>
        <v>Total al 31/12/2021</v>
      </c>
      <c r="C22" s="151">
        <v>19062700</v>
      </c>
      <c r="D22" s="150">
        <v>358897959</v>
      </c>
    </row>
    <row r="25" spans="2:15">
      <c r="K25" s="152"/>
      <c r="M25" s="153"/>
      <c r="O25" s="153"/>
    </row>
    <row r="26" spans="2:15">
      <c r="K26" s="152"/>
      <c r="M26" s="153"/>
      <c r="O26" s="153"/>
    </row>
    <row r="27" spans="2:15">
      <c r="K27" s="152"/>
      <c r="M27" s="153"/>
      <c r="O27" s="154"/>
    </row>
    <row r="32" spans="2:15">
      <c r="G32" s="153"/>
    </row>
  </sheetData>
  <mergeCells count="1">
    <mergeCell ref="B5:D5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rgb="FF002060"/>
  </sheetPr>
  <dimension ref="B1:H26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7" style="86" customWidth="1"/>
    <col min="2" max="2" width="32.42578125" style="86" customWidth="1"/>
    <col min="3" max="3" width="22.140625" style="86" bestFit="1" customWidth="1"/>
    <col min="4" max="4" width="14.42578125" style="86" bestFit="1" customWidth="1"/>
    <col min="5" max="5" width="14.140625" style="86" bestFit="1" customWidth="1"/>
    <col min="6" max="6" width="14.42578125" style="86" bestFit="1" customWidth="1"/>
    <col min="7" max="7" width="13.28515625" style="86" customWidth="1"/>
    <col min="8" max="9" width="12.140625" style="86" bestFit="1" customWidth="1"/>
    <col min="10" max="16384" width="11.42578125" style="86"/>
  </cols>
  <sheetData>
    <row r="1" spans="2:8" ht="15">
      <c r="C1" s="180"/>
    </row>
    <row r="2" spans="2:8" ht="15">
      <c r="C2" s="180"/>
    </row>
    <row r="3" spans="2:8" ht="15">
      <c r="B3" s="372" t="s">
        <v>1051</v>
      </c>
    </row>
    <row r="4" spans="2:8">
      <c r="B4" s="155"/>
    </row>
    <row r="5" spans="2:8" ht="12" customHeight="1">
      <c r="B5" s="713" t="s">
        <v>970</v>
      </c>
      <c r="C5" s="713"/>
      <c r="D5" s="713"/>
      <c r="E5" s="713"/>
      <c r="F5" s="713"/>
    </row>
    <row r="7" spans="2:8" ht="24">
      <c r="B7" s="38" t="s">
        <v>824</v>
      </c>
      <c r="C7" s="38" t="s">
        <v>1052</v>
      </c>
      <c r="D7" s="38" t="s">
        <v>963</v>
      </c>
      <c r="E7" s="38" t="s">
        <v>1053</v>
      </c>
      <c r="F7" s="661" t="str">
        <f>INDICE!I2</f>
        <v>Total al  31/12/2022</v>
      </c>
      <c r="G7" s="661" t="str">
        <f>INDICE!J2</f>
        <v>Total al  30/12/2021</v>
      </c>
    </row>
    <row r="8" spans="2:8">
      <c r="B8" s="91" t="s">
        <v>104</v>
      </c>
      <c r="C8" s="454">
        <f>G8</f>
        <v>3386000000</v>
      </c>
      <c r="D8" s="157">
        <f>+F8-C8</f>
        <v>419000000</v>
      </c>
      <c r="E8" s="157">
        <v>0</v>
      </c>
      <c r="F8" s="156">
        <f>+'BALANCE GRAL 31 12 22'!$G$63</f>
        <v>3805000000</v>
      </c>
      <c r="G8" s="454">
        <f>+'BALANCE GRAL 31 12 22'!H63</f>
        <v>3386000000</v>
      </c>
      <c r="H8" s="160"/>
    </row>
    <row r="9" spans="2:8">
      <c r="B9" s="91" t="s">
        <v>1054</v>
      </c>
      <c r="C9" s="156">
        <v>0</v>
      </c>
      <c r="D9" s="157">
        <v>0</v>
      </c>
      <c r="E9" s="157">
        <f>+C9</f>
        <v>0</v>
      </c>
      <c r="F9" s="156">
        <v>0</v>
      </c>
      <c r="G9" s="156">
        <v>0</v>
      </c>
      <c r="H9" s="160"/>
    </row>
    <row r="10" spans="2:8">
      <c r="B10" s="91" t="s">
        <v>107</v>
      </c>
      <c r="C10" s="156">
        <v>0</v>
      </c>
      <c r="D10" s="159">
        <v>0</v>
      </c>
      <c r="E10" s="157">
        <v>0</v>
      </c>
      <c r="F10" s="156">
        <f>+'BALANCE GRAL 31 12 22'!$G$69</f>
        <v>102000000</v>
      </c>
      <c r="G10" s="156">
        <v>0</v>
      </c>
      <c r="H10" s="160"/>
    </row>
    <row r="11" spans="2:8">
      <c r="B11" s="91" t="s">
        <v>111</v>
      </c>
      <c r="C11" s="157">
        <v>0</v>
      </c>
      <c r="D11" s="157">
        <v>0</v>
      </c>
      <c r="E11" s="157">
        <f>+C11-F11</f>
        <v>9529900.7300000004</v>
      </c>
      <c r="F11" s="157">
        <f>+'BALANCE GRAL 31 12 22'!$G$72+1</f>
        <v>-9529900.7300000004</v>
      </c>
      <c r="G11" s="157">
        <v>0</v>
      </c>
      <c r="H11" s="160"/>
    </row>
    <row r="12" spans="2:8">
      <c r="B12" s="91" t="s">
        <v>494</v>
      </c>
      <c r="C12" s="156">
        <f>G12</f>
        <v>-9529901</v>
      </c>
      <c r="D12" s="157">
        <f>+'BALANCE GRAL 31 12 22'!$G$73</f>
        <v>-169147450.69999999</v>
      </c>
      <c r="E12" s="157">
        <f>+C12+0.27</f>
        <v>-9529900.7300000004</v>
      </c>
      <c r="F12" s="156">
        <f>+'BALANCE GRAL 31 12 22'!$G$73</f>
        <v>-169147450.69999999</v>
      </c>
      <c r="G12" s="156">
        <f>-9529901</f>
        <v>-9529901</v>
      </c>
      <c r="H12" s="160"/>
    </row>
    <row r="13" spans="2:8">
      <c r="B13" s="109" t="str">
        <f>+'NOTA S RESULTADOS CON PERS'!B21</f>
        <v>Total al  31/12/2022</v>
      </c>
      <c r="C13" s="161">
        <f>SUM(C8:C12)</f>
        <v>3376470099</v>
      </c>
      <c r="D13" s="161">
        <f>SUM(D8:D12)</f>
        <v>249852549.30000001</v>
      </c>
      <c r="E13" s="676">
        <f>SUM(E8:E12)</f>
        <v>0</v>
      </c>
      <c r="F13" s="161">
        <f>SUM(F8:F12)</f>
        <v>3728322648.5700002</v>
      </c>
      <c r="G13" s="161">
        <v>0</v>
      </c>
      <c r="H13" s="160"/>
    </row>
    <row r="14" spans="2:8">
      <c r="B14" s="109" t="str">
        <f>+'NOTA S RESULTADOS CON PERS'!B22</f>
        <v>Total al 31/12/2021</v>
      </c>
      <c r="C14" s="161">
        <v>0</v>
      </c>
      <c r="D14" s="161">
        <f>3376681638.27-211539</f>
        <v>3376470099.27</v>
      </c>
      <c r="E14" s="162">
        <v>0</v>
      </c>
      <c r="F14" s="161">
        <v>0</v>
      </c>
      <c r="G14" s="161">
        <f>SUM(G8:G13)</f>
        <v>3376470099</v>
      </c>
    </row>
    <row r="15" spans="2:8">
      <c r="D15" s="160"/>
      <c r="F15" s="158"/>
    </row>
    <row r="16" spans="2:8">
      <c r="D16" s="160"/>
      <c r="E16" s="87"/>
      <c r="F16" s="163"/>
    </row>
    <row r="17" spans="2:7">
      <c r="B17" s="99" t="s">
        <v>1055</v>
      </c>
      <c r="D17" s="158"/>
      <c r="E17" s="160"/>
      <c r="F17" s="158"/>
    </row>
    <row r="18" spans="2:7">
      <c r="B18" s="693" t="s">
        <v>1056</v>
      </c>
      <c r="C18" s="693"/>
      <c r="D18" s="693"/>
      <c r="E18" s="693"/>
      <c r="F18" s="693"/>
    </row>
    <row r="20" spans="2:7" ht="24">
      <c r="B20" s="38" t="s">
        <v>595</v>
      </c>
      <c r="C20" s="38" t="s">
        <v>1052</v>
      </c>
      <c r="D20" s="38" t="s">
        <v>963</v>
      </c>
      <c r="E20" s="38" t="s">
        <v>1053</v>
      </c>
      <c r="F20" s="38" t="str">
        <f>+F7</f>
        <v>Total al  31/12/2022</v>
      </c>
      <c r="G20" s="38" t="str">
        <f>+G7</f>
        <v>Total al  30/12/2021</v>
      </c>
    </row>
    <row r="21" spans="2:7">
      <c r="B21" s="91" t="s">
        <v>1057</v>
      </c>
      <c r="C21" s="156">
        <v>0</v>
      </c>
      <c r="D21" s="157">
        <v>0</v>
      </c>
      <c r="E21" s="157">
        <v>0</v>
      </c>
      <c r="F21" s="156">
        <v>0</v>
      </c>
      <c r="G21" s="156">
        <v>0</v>
      </c>
    </row>
    <row r="22" spans="2:7">
      <c r="B22" s="91" t="s">
        <v>1058</v>
      </c>
      <c r="C22" s="157">
        <v>0</v>
      </c>
      <c r="D22" s="157">
        <v>0</v>
      </c>
      <c r="E22" s="157">
        <f>+C22</f>
        <v>0</v>
      </c>
      <c r="F22" s="156">
        <v>0</v>
      </c>
      <c r="G22" s="156">
        <v>0</v>
      </c>
    </row>
    <row r="23" spans="2:7">
      <c r="B23" s="109" t="s">
        <v>856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</row>
    <row r="24" spans="2:7">
      <c r="B24" s="91" t="s">
        <v>1059</v>
      </c>
      <c r="C24" s="157">
        <v>0</v>
      </c>
      <c r="D24" s="157">
        <v>0</v>
      </c>
      <c r="E24" s="157">
        <f>+C24-F24</f>
        <v>0</v>
      </c>
      <c r="F24" s="157">
        <v>0</v>
      </c>
      <c r="G24" s="157">
        <v>0</v>
      </c>
    </row>
    <row r="25" spans="2:7">
      <c r="B25" s="91" t="s">
        <v>1060</v>
      </c>
      <c r="C25" s="156">
        <v>0</v>
      </c>
      <c r="D25" s="157">
        <v>0</v>
      </c>
      <c r="E25" s="157">
        <f>+C25</f>
        <v>0</v>
      </c>
      <c r="F25" s="156">
        <v>0</v>
      </c>
      <c r="G25" s="156">
        <v>0</v>
      </c>
    </row>
    <row r="26" spans="2:7">
      <c r="B26" s="109" t="s">
        <v>856</v>
      </c>
      <c r="C26" s="161">
        <f>SUM(C21:C25)</f>
        <v>0</v>
      </c>
      <c r="D26" s="161">
        <f>SUM(D21:D25)</f>
        <v>0</v>
      </c>
      <c r="E26" s="161">
        <f>SUM(E21:E25)</f>
        <v>0</v>
      </c>
      <c r="F26" s="161">
        <f>SUM(F21:F25)</f>
        <v>0</v>
      </c>
      <c r="G26" s="161">
        <f>SUM(G21:G25)</f>
        <v>0</v>
      </c>
    </row>
  </sheetData>
  <mergeCells count="2">
    <mergeCell ref="B5:F5"/>
    <mergeCell ref="B18:F18"/>
  </mergeCells>
  <hyperlinks>
    <hyperlink ref="B3" location="'BALANCE GRAL 30_09_22'!A1" display="t) Patrimonio" xr:uid="{846CFCA4-DD99-44C0-B931-2AF3198920E9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rgb="FF002060"/>
  </sheetPr>
  <dimension ref="B1:F28"/>
  <sheetViews>
    <sheetView showGridLines="0" zoomScale="110" zoomScaleNormal="110" workbookViewId="0">
      <selection activeCell="A3" sqref="A3"/>
    </sheetView>
  </sheetViews>
  <sheetFormatPr baseColWidth="10" defaultColWidth="20.28515625" defaultRowHeight="12"/>
  <cols>
    <col min="1" max="1" width="6.85546875" style="28" customWidth="1"/>
    <col min="2" max="2" width="35" style="28" bestFit="1" customWidth="1"/>
    <col min="3" max="4" width="20.7109375" style="28" customWidth="1"/>
    <col min="5" max="16384" width="20.28515625" style="28"/>
  </cols>
  <sheetData>
    <row r="1" spans="2:6" ht="15">
      <c r="B1" s="180"/>
    </row>
    <row r="3" spans="2:6" ht="15">
      <c r="B3" s="372" t="s">
        <v>1061</v>
      </c>
    </row>
    <row r="4" spans="2:6">
      <c r="B4" s="99"/>
    </row>
    <row r="5" spans="2:6" ht="12" customHeight="1">
      <c r="B5" s="713" t="s">
        <v>970</v>
      </c>
      <c r="C5" s="713"/>
      <c r="D5" s="713"/>
      <c r="E5" s="366"/>
      <c r="F5" s="366"/>
    </row>
    <row r="7" spans="2:6">
      <c r="B7" s="164" t="s">
        <v>1062</v>
      </c>
    </row>
    <row r="8" spans="2:6">
      <c r="B8" s="107" t="s">
        <v>824</v>
      </c>
      <c r="C8" s="612" t="str">
        <f>+INDICE!I3</f>
        <v>Al 31/12/2022</v>
      </c>
      <c r="D8" s="612" t="str">
        <f>+INDICE!J3</f>
        <v>Al 31/12/2021</v>
      </c>
    </row>
    <row r="9" spans="2:6">
      <c r="B9" s="52" t="s">
        <v>126</v>
      </c>
      <c r="C9" s="393">
        <v>82276870</v>
      </c>
      <c r="D9" s="393">
        <v>42973451</v>
      </c>
    </row>
    <row r="10" spans="2:6">
      <c r="B10" s="610" t="s">
        <v>127</v>
      </c>
      <c r="C10" s="611">
        <v>82276870</v>
      </c>
      <c r="D10" s="611">
        <v>42973451</v>
      </c>
    </row>
    <row r="11" spans="2:6">
      <c r="B11" s="36" t="s">
        <v>128</v>
      </c>
      <c r="C11" s="114">
        <v>64178337</v>
      </c>
      <c r="D11" s="114">
        <v>13598724</v>
      </c>
    </row>
    <row r="12" spans="2:6">
      <c r="B12" s="36" t="s">
        <v>129</v>
      </c>
      <c r="C12" s="114">
        <v>15347399</v>
      </c>
      <c r="D12" s="114">
        <v>29374727</v>
      </c>
    </row>
    <row r="13" spans="2:6">
      <c r="B13" s="36" t="s">
        <v>130</v>
      </c>
      <c r="C13" s="114">
        <v>2751134</v>
      </c>
      <c r="D13" s="114">
        <v>0</v>
      </c>
    </row>
    <row r="14" spans="2:6">
      <c r="B14" s="52" t="s">
        <v>131</v>
      </c>
      <c r="C14" s="115">
        <v>3822086726</v>
      </c>
      <c r="D14" s="115">
        <v>1270367647</v>
      </c>
    </row>
    <row r="15" spans="2:6">
      <c r="B15" s="610" t="s">
        <v>132</v>
      </c>
      <c r="C15" s="611">
        <v>3822086726</v>
      </c>
      <c r="D15" s="611">
        <v>1270367647</v>
      </c>
    </row>
    <row r="16" spans="2:6">
      <c r="B16" s="54" t="s">
        <v>133</v>
      </c>
      <c r="C16" s="114">
        <v>3676898142</v>
      </c>
      <c r="D16" s="114">
        <v>254866699</v>
      </c>
    </row>
    <row r="17" spans="2:4">
      <c r="B17" s="54" t="s">
        <v>134</v>
      </c>
      <c r="C17" s="114">
        <v>145188584</v>
      </c>
      <c r="D17" s="165">
        <v>1015500948</v>
      </c>
    </row>
    <row r="18" spans="2:4">
      <c r="B18" s="52" t="s">
        <v>1063</v>
      </c>
      <c r="C18" s="115">
        <f>+C9+C14</f>
        <v>3904363596</v>
      </c>
      <c r="D18" s="115">
        <f>+D9+D14</f>
        <v>1313341098</v>
      </c>
    </row>
    <row r="20" spans="2:4">
      <c r="B20" s="164" t="s">
        <v>143</v>
      </c>
    </row>
    <row r="21" spans="2:4">
      <c r="B21" s="107" t="s">
        <v>824</v>
      </c>
      <c r="C21" s="107" t="str">
        <f>+C8</f>
        <v>Al 31/12/2022</v>
      </c>
      <c r="D21" s="107" t="str">
        <f>+D8</f>
        <v>Al 31/12/2021</v>
      </c>
    </row>
    <row r="22" spans="2:4">
      <c r="B22" s="36" t="s">
        <v>1064</v>
      </c>
      <c r="C22" s="93">
        <f>+'ESTADOS DE RESULTADOS 31 12 22'!E33</f>
        <v>0</v>
      </c>
      <c r="D22" s="56">
        <v>0</v>
      </c>
    </row>
    <row r="23" spans="2:4">
      <c r="B23" s="36" t="s">
        <v>1065</v>
      </c>
      <c r="C23" s="93">
        <f>+'ESTADOS DE RESULTADOS 31 12 22'!E34</f>
        <v>0</v>
      </c>
      <c r="D23" s="93">
        <v>0</v>
      </c>
    </row>
    <row r="24" spans="2:4">
      <c r="B24" s="36" t="s">
        <v>1066</v>
      </c>
      <c r="C24" s="93">
        <f>+'ESTADOS DE RESULTADOS 31 12 22'!E35</f>
        <v>1096135</v>
      </c>
      <c r="D24" s="93">
        <v>0</v>
      </c>
    </row>
    <row r="25" spans="2:4">
      <c r="B25" s="52" t="s">
        <v>856</v>
      </c>
      <c r="C25" s="106">
        <f>SUM(C22:C24)</f>
        <v>1096135</v>
      </c>
      <c r="D25" s="106">
        <v>0</v>
      </c>
    </row>
    <row r="27" spans="2:4">
      <c r="C27" s="103"/>
      <c r="D27" s="103"/>
    </row>
    <row r="28" spans="2:4">
      <c r="C28" s="103"/>
    </row>
  </sheetData>
  <mergeCells count="1">
    <mergeCell ref="B5:D5"/>
  </mergeCells>
  <hyperlinks>
    <hyperlink ref="B3" location="'ESTADOS DE RESULTADOS 30_09_22'!A1" display="v)       Ingresos Operativos" xr:uid="{FF0641DC-28F1-4815-855B-55C2C2D61CFD}"/>
  </hyperlink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tabColor rgb="FF002060"/>
  </sheetPr>
  <dimension ref="B1:E45"/>
  <sheetViews>
    <sheetView showGridLines="0" topLeftCell="A6" zoomScale="110" zoomScaleNormal="110" workbookViewId="0">
      <selection activeCell="A3" sqref="A3"/>
    </sheetView>
  </sheetViews>
  <sheetFormatPr baseColWidth="10" defaultColWidth="11.42578125" defaultRowHeight="12"/>
  <cols>
    <col min="1" max="1" width="7" style="28" customWidth="1"/>
    <col min="2" max="2" width="40.28515625" style="28" customWidth="1"/>
    <col min="3" max="4" width="20.7109375" style="28" customWidth="1"/>
    <col min="5" max="5" width="15.140625" style="28" bestFit="1" customWidth="1"/>
    <col min="6" max="16384" width="11.42578125" style="28"/>
  </cols>
  <sheetData>
    <row r="1" spans="2:5">
      <c r="B1" s="730"/>
      <c r="C1" s="731"/>
      <c r="D1" s="731"/>
    </row>
    <row r="2" spans="2:5">
      <c r="B2" s="670"/>
      <c r="C2" s="166"/>
      <c r="D2" s="166"/>
    </row>
    <row r="3" spans="2:5" ht="15">
      <c r="B3" s="671" t="s">
        <v>1067</v>
      </c>
      <c r="C3" s="166"/>
      <c r="D3" s="166"/>
    </row>
    <row r="4" spans="2:5">
      <c r="C4" s="166"/>
      <c r="D4" s="166"/>
    </row>
    <row r="5" spans="2:5">
      <c r="B5" s="713" t="s">
        <v>970</v>
      </c>
      <c r="C5" s="713"/>
      <c r="D5" s="713"/>
    </row>
    <row r="6" spans="2:5">
      <c r="B6" s="672"/>
      <c r="C6" s="167"/>
      <c r="D6" s="167"/>
    </row>
    <row r="7" spans="2:5">
      <c r="B7" s="342" t="s">
        <v>824</v>
      </c>
      <c r="C7" s="107" t="str">
        <f>+'NOTA V INGRESOS OPERATIVOS'!C8</f>
        <v>Al 31/12/2022</v>
      </c>
      <c r="D7" s="107" t="str">
        <f>+'NOTA V INGRESOS OPERATIVOS'!D8</f>
        <v>Al 31/12/2021</v>
      </c>
    </row>
    <row r="8" spans="2:5" s="155" customFormat="1">
      <c r="B8" s="52" t="s">
        <v>156</v>
      </c>
      <c r="C8" s="1">
        <v>59648837</v>
      </c>
      <c r="D8" s="1">
        <v>65106763</v>
      </c>
      <c r="E8" s="673"/>
    </row>
    <row r="9" spans="2:5">
      <c r="B9" s="36" t="s">
        <v>157</v>
      </c>
      <c r="C9" s="316">
        <v>6</v>
      </c>
      <c r="D9" s="168">
        <v>0</v>
      </c>
    </row>
    <row r="10" spans="2:5">
      <c r="B10" s="36" t="s">
        <v>158</v>
      </c>
      <c r="C10" s="316">
        <v>46422505</v>
      </c>
      <c r="D10" s="168">
        <v>62905488</v>
      </c>
    </row>
    <row r="11" spans="2:5">
      <c r="B11" s="36" t="s">
        <v>159</v>
      </c>
      <c r="C11" s="316">
        <v>3230064</v>
      </c>
      <c r="D11" s="168">
        <v>2201275</v>
      </c>
    </row>
    <row r="12" spans="2:5">
      <c r="B12" s="169" t="s">
        <v>160</v>
      </c>
      <c r="C12" s="316">
        <v>2058235</v>
      </c>
      <c r="D12" s="168">
        <v>0</v>
      </c>
    </row>
    <row r="13" spans="2:5">
      <c r="B13" s="36" t="s">
        <v>161</v>
      </c>
      <c r="C13" s="170">
        <v>375000</v>
      </c>
      <c r="D13" s="170">
        <v>0</v>
      </c>
    </row>
    <row r="14" spans="2:5">
      <c r="B14" s="36" t="s">
        <v>162</v>
      </c>
      <c r="C14" s="1">
        <v>7563027</v>
      </c>
      <c r="D14" s="1">
        <v>0</v>
      </c>
    </row>
    <row r="15" spans="2:5" s="155" customFormat="1">
      <c r="B15" s="52" t="s">
        <v>163</v>
      </c>
      <c r="C15" s="170">
        <v>10914028</v>
      </c>
      <c r="D15" s="1">
        <v>0</v>
      </c>
    </row>
    <row r="16" spans="2:5">
      <c r="B16" s="36" t="s">
        <v>164</v>
      </c>
      <c r="C16" s="168">
        <v>10914028</v>
      </c>
      <c r="D16" s="1">
        <v>0</v>
      </c>
    </row>
    <row r="17" spans="2:4">
      <c r="B17" s="36" t="s">
        <v>165</v>
      </c>
      <c r="C17" s="168">
        <v>10914028</v>
      </c>
      <c r="D17" s="1">
        <v>0</v>
      </c>
    </row>
    <row r="18" spans="2:4" s="155" customFormat="1">
      <c r="B18" s="52" t="s">
        <v>166</v>
      </c>
      <c r="C18" s="170">
        <v>875231058</v>
      </c>
      <c r="D18" s="170">
        <v>339217644</v>
      </c>
    </row>
    <row r="19" spans="2:4" s="664" customFormat="1">
      <c r="B19" s="669" t="s">
        <v>167</v>
      </c>
      <c r="C19" s="674">
        <v>132556999</v>
      </c>
      <c r="D19" s="674">
        <v>9557107</v>
      </c>
    </row>
    <row r="20" spans="2:4">
      <c r="B20" s="394" t="s">
        <v>168</v>
      </c>
      <c r="C20" s="675">
        <v>96718509</v>
      </c>
      <c r="D20" s="168">
        <v>3850000</v>
      </c>
    </row>
    <row r="21" spans="2:4">
      <c r="B21" s="394" t="s">
        <v>169</v>
      </c>
      <c r="C21" s="168">
        <v>15958556</v>
      </c>
      <c r="D21" s="168">
        <v>635250</v>
      </c>
    </row>
    <row r="22" spans="2:4">
      <c r="B22" s="394" t="s">
        <v>170</v>
      </c>
      <c r="C22" s="168">
        <v>7145480</v>
      </c>
      <c r="D22" s="168">
        <v>1114660</v>
      </c>
    </row>
    <row r="23" spans="2:4">
      <c r="B23" s="394" t="s">
        <v>171</v>
      </c>
      <c r="C23" s="168">
        <v>8059876</v>
      </c>
      <c r="D23" s="168">
        <v>320833</v>
      </c>
    </row>
    <row r="24" spans="2:4">
      <c r="B24" s="394" t="s">
        <v>172</v>
      </c>
      <c r="C24" s="675">
        <v>3222760</v>
      </c>
      <c r="D24" s="168">
        <v>3636364</v>
      </c>
    </row>
    <row r="25" spans="2:4">
      <c r="B25" s="394" t="s">
        <v>173</v>
      </c>
      <c r="C25" s="168">
        <v>1451818</v>
      </c>
      <c r="D25" s="168">
        <v>0</v>
      </c>
    </row>
    <row r="26" spans="2:4" s="667" customFormat="1">
      <c r="B26" s="665" t="s">
        <v>174</v>
      </c>
      <c r="C26" s="662">
        <v>605833338</v>
      </c>
      <c r="D26" s="666">
        <v>381818</v>
      </c>
    </row>
    <row r="27" spans="2:4">
      <c r="B27" s="394" t="s">
        <v>175</v>
      </c>
      <c r="C27" s="168">
        <v>605833338</v>
      </c>
      <c r="D27" s="168">
        <v>0</v>
      </c>
    </row>
    <row r="28" spans="2:4" s="667" customFormat="1">
      <c r="B28" s="665" t="s">
        <v>176</v>
      </c>
      <c r="C28" s="663">
        <v>136840721</v>
      </c>
      <c r="D28" s="668">
        <v>329278719</v>
      </c>
    </row>
    <row r="29" spans="2:4">
      <c r="B29" s="394" t="s">
        <v>177</v>
      </c>
      <c r="C29" s="168">
        <v>6481911</v>
      </c>
      <c r="D29" s="168">
        <v>264353032</v>
      </c>
    </row>
    <row r="30" spans="2:4">
      <c r="B30" s="394" t="s">
        <v>178</v>
      </c>
      <c r="C30" s="168">
        <v>103293773</v>
      </c>
      <c r="D30" s="168">
        <v>34008717</v>
      </c>
    </row>
    <row r="31" spans="2:4">
      <c r="B31" s="394" t="s">
        <v>179</v>
      </c>
      <c r="C31" s="168">
        <v>2209092</v>
      </c>
      <c r="D31" s="168">
        <v>245455</v>
      </c>
    </row>
    <row r="32" spans="2:4">
      <c r="B32" s="394" t="s">
        <v>180</v>
      </c>
      <c r="C32" s="168">
        <v>13210480</v>
      </c>
      <c r="D32" s="168">
        <v>1123376</v>
      </c>
    </row>
    <row r="33" spans="2:4">
      <c r="B33" s="394" t="s">
        <v>181</v>
      </c>
      <c r="C33" s="168">
        <v>425362</v>
      </c>
      <c r="D33" s="168">
        <v>0</v>
      </c>
    </row>
    <row r="34" spans="2:4">
      <c r="B34" s="394" t="s">
        <v>182</v>
      </c>
      <c r="C34" s="168">
        <v>211956</v>
      </c>
      <c r="D34" s="168">
        <v>0</v>
      </c>
    </row>
    <row r="35" spans="2:4">
      <c r="B35" s="394" t="s">
        <v>183</v>
      </c>
      <c r="C35" s="168">
        <v>1423955</v>
      </c>
      <c r="D35" s="168">
        <v>0</v>
      </c>
    </row>
    <row r="36" spans="2:4">
      <c r="B36" s="394" t="s">
        <v>184</v>
      </c>
      <c r="C36" s="168">
        <v>1090909</v>
      </c>
      <c r="D36" s="168">
        <v>909092</v>
      </c>
    </row>
    <row r="37" spans="2:4">
      <c r="B37" s="394" t="s">
        <v>185</v>
      </c>
      <c r="C37" s="168">
        <v>510364</v>
      </c>
      <c r="D37" s="168">
        <v>2429046</v>
      </c>
    </row>
    <row r="38" spans="2:4">
      <c r="B38" s="394" t="s">
        <v>186</v>
      </c>
      <c r="C38" s="168">
        <v>492688</v>
      </c>
      <c r="D38" s="168">
        <v>0</v>
      </c>
    </row>
    <row r="39" spans="2:4">
      <c r="B39" s="394" t="s">
        <v>187</v>
      </c>
      <c r="C39" s="168">
        <v>160000</v>
      </c>
      <c r="D39" s="168">
        <v>0</v>
      </c>
    </row>
    <row r="40" spans="2:4">
      <c r="B40" s="394" t="s">
        <v>188</v>
      </c>
      <c r="C40" s="168">
        <v>1122506</v>
      </c>
      <c r="D40" s="168">
        <v>472727</v>
      </c>
    </row>
    <row r="41" spans="2:4">
      <c r="B41" s="394" t="s">
        <v>189</v>
      </c>
      <c r="C41" s="168">
        <v>4489001</v>
      </c>
      <c r="D41" s="168">
        <v>3897318</v>
      </c>
    </row>
    <row r="42" spans="2:4">
      <c r="B42" s="394" t="s">
        <v>190</v>
      </c>
      <c r="C42" s="168">
        <v>96156</v>
      </c>
      <c r="D42" s="168">
        <v>0</v>
      </c>
    </row>
    <row r="43" spans="2:4" s="664" customFormat="1">
      <c r="B43" s="665" t="s">
        <v>191</v>
      </c>
      <c r="C43" s="663">
        <v>1622568</v>
      </c>
      <c r="D43" s="663">
        <v>2184405</v>
      </c>
    </row>
    <row r="44" spans="2:4">
      <c r="B44" s="394" t="s">
        <v>192</v>
      </c>
      <c r="C44" s="168">
        <v>22568</v>
      </c>
      <c r="D44" s="168">
        <v>410700</v>
      </c>
    </row>
    <row r="45" spans="2:4">
      <c r="B45" s="394" t="s">
        <v>193</v>
      </c>
      <c r="C45" s="168">
        <v>1600000</v>
      </c>
      <c r="D45" s="168">
        <v>1723250</v>
      </c>
    </row>
  </sheetData>
  <mergeCells count="2">
    <mergeCell ref="B1:D1"/>
    <mergeCell ref="B5:D5"/>
  </mergeCells>
  <hyperlinks>
    <hyperlink ref="B3" location="'ESTADOS DE RESULTADOS 30_09_22'!A1" display="w) Otros Gastos Operativos, de comercialización y de administración" xr:uid="{442B7E06-4CFF-4B10-A54A-78022907AB1C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rgb="FF002060"/>
  </sheetPr>
  <dimension ref="B1:D12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7.28515625" style="28" customWidth="1"/>
    <col min="2" max="2" width="37.7109375" style="28" bestFit="1" customWidth="1"/>
    <col min="3" max="3" width="13.7109375" style="28" bestFit="1" customWidth="1"/>
    <col min="4" max="4" width="13.28515625" style="28" bestFit="1" customWidth="1"/>
    <col min="5" max="16384" width="11.42578125" style="28"/>
  </cols>
  <sheetData>
    <row r="1" spans="2:4" ht="15">
      <c r="B1" s="180"/>
    </row>
    <row r="2" spans="2:4" ht="15">
      <c r="B2" s="180"/>
    </row>
    <row r="3" spans="2:4" ht="15">
      <c r="B3" s="372" t="s">
        <v>1068</v>
      </c>
    </row>
    <row r="4" spans="2:4">
      <c r="B4" s="99"/>
    </row>
    <row r="5" spans="2:4">
      <c r="B5" s="713" t="s">
        <v>970</v>
      </c>
      <c r="C5" s="713"/>
      <c r="D5" s="713"/>
    </row>
    <row r="7" spans="2:4">
      <c r="B7" s="107" t="s">
        <v>824</v>
      </c>
      <c r="C7" s="107" t="str">
        <f>+'NOTA W OTROS GASTOS OPER'!C7</f>
        <v>Al 31/12/2022</v>
      </c>
      <c r="D7" s="107" t="str">
        <f>+'NOTA W OTROS GASTOS OPER'!D7</f>
        <v>Al 31/12/2021</v>
      </c>
    </row>
    <row r="8" spans="2:4">
      <c r="B8" s="52" t="s">
        <v>574</v>
      </c>
      <c r="C8" s="171">
        <f>+C9</f>
        <v>0</v>
      </c>
      <c r="D8" s="106">
        <v>0</v>
      </c>
    </row>
    <row r="9" spans="2:4">
      <c r="B9" s="36" t="s">
        <v>574</v>
      </c>
      <c r="C9" s="172">
        <f>+'ESTADOS DE RESULTADOS 31 12 22'!E82</f>
        <v>0</v>
      </c>
      <c r="D9" s="56">
        <v>0</v>
      </c>
    </row>
    <row r="10" spans="2:4">
      <c r="B10" s="52" t="s">
        <v>562</v>
      </c>
      <c r="C10" s="171">
        <f>+C11</f>
        <v>380513547</v>
      </c>
      <c r="D10" s="171">
        <f>+D11</f>
        <v>126407905</v>
      </c>
    </row>
    <row r="11" spans="2:4">
      <c r="B11" s="36" t="s">
        <v>562</v>
      </c>
      <c r="C11" s="172">
        <f>+'ESTADOS DE RESULTADOS 31 12 22'!E81</f>
        <v>380513547</v>
      </c>
      <c r="D11" s="56">
        <f>+'ESTADOS DE RESULTADOS 31 12 22'!F81</f>
        <v>126407905</v>
      </c>
    </row>
    <row r="12" spans="2:4">
      <c r="B12" s="52" t="s">
        <v>856</v>
      </c>
      <c r="C12" s="171">
        <v>0</v>
      </c>
      <c r="D12" s="106">
        <v>0</v>
      </c>
    </row>
  </sheetData>
  <mergeCells count="1">
    <mergeCell ref="B5:D5"/>
  </mergeCells>
  <hyperlinks>
    <hyperlink ref="B3" location="'ESTADOS DE RESULTADOS 30_09_22'!A1" display="x)       Otros Ingresos y Egresos" xr:uid="{1D63381C-A472-4830-ABBB-9AF62F31765E}"/>
  </hyperlink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002060"/>
  </sheetPr>
  <dimension ref="B1:D18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17.7109375" style="28" customWidth="1"/>
    <col min="2" max="2" width="37.7109375" style="28" bestFit="1" customWidth="1"/>
    <col min="3" max="4" width="14.28515625" style="28" bestFit="1" customWidth="1"/>
    <col min="5" max="16384" width="11.42578125" style="28"/>
  </cols>
  <sheetData>
    <row r="1" spans="2:4" ht="15">
      <c r="B1" s="180"/>
    </row>
    <row r="3" spans="2:4" ht="15">
      <c r="B3" s="372" t="s">
        <v>1069</v>
      </c>
    </row>
    <row r="4" spans="2:4">
      <c r="B4" s="99"/>
    </row>
    <row r="5" spans="2:4">
      <c r="B5" s="713" t="s">
        <v>970</v>
      </c>
      <c r="C5" s="713"/>
      <c r="D5" s="713"/>
    </row>
    <row r="7" spans="2:4">
      <c r="B7" s="107" t="s">
        <v>824</v>
      </c>
      <c r="C7" s="107" t="str">
        <f>+'NOTA W OTROS GASTOS OPER'!C7</f>
        <v>Al 31/12/2022</v>
      </c>
      <c r="D7" s="107" t="str">
        <f>+'NOTA W OTROS GASTOS OPER'!D7</f>
        <v>Al 31/12/2021</v>
      </c>
    </row>
    <row r="8" spans="2:4">
      <c r="B8" s="52" t="s">
        <v>1070</v>
      </c>
      <c r="C8" s="56"/>
      <c r="D8" s="56"/>
    </row>
    <row r="9" spans="2:4">
      <c r="B9" s="36" t="s">
        <v>1071</v>
      </c>
      <c r="C9" s="56">
        <f>+'ESTADOS DE RESULTADOS 31 12 22'!E87</f>
        <v>560759516</v>
      </c>
      <c r="D9" s="56">
        <f>+'ESTADOS DE RESULTADOS 31 12 22'!F87</f>
        <v>234434084</v>
      </c>
    </row>
    <row r="10" spans="2:4">
      <c r="B10" s="36" t="s">
        <v>578</v>
      </c>
      <c r="C10" s="56">
        <f>+'ESTADOS DE RESULTADOS 31 12 22'!E88</f>
        <v>28413172</v>
      </c>
      <c r="D10" s="56">
        <f>+'ESTADOS DE RESULTADOS 31 12 22'!F88</f>
        <v>0</v>
      </c>
    </row>
    <row r="11" spans="2:4">
      <c r="B11" s="52" t="s">
        <v>856</v>
      </c>
      <c r="C11" s="106">
        <f>SUM(C9:C10)</f>
        <v>589172688</v>
      </c>
      <c r="D11" s="106">
        <f>SUM(D9:D10)</f>
        <v>234434084</v>
      </c>
    </row>
    <row r="12" spans="2:4">
      <c r="B12" s="52" t="s">
        <v>1072</v>
      </c>
      <c r="C12" s="56"/>
      <c r="D12" s="56"/>
    </row>
    <row r="13" spans="2:4">
      <c r="B13" s="36" t="s">
        <v>1073</v>
      </c>
      <c r="C13" s="93">
        <f>-'ESTADOS DE RESULTADOS 31 12 22'!E90</f>
        <v>-146034573</v>
      </c>
      <c r="D13" s="56">
        <f>+'ESTADOS DE RESULTADOS 31 12 22'!F90</f>
        <v>65924255</v>
      </c>
    </row>
    <row r="14" spans="2:4">
      <c r="B14" s="36" t="s">
        <v>578</v>
      </c>
      <c r="C14" s="93">
        <f>-'ESTADOS DE RESULTADOS 31 12 22'!E91</f>
        <v>-30948759</v>
      </c>
      <c r="D14" s="56">
        <f>+'ESTADOS DE RESULTADOS 31 12 22'!F92</f>
        <v>0</v>
      </c>
    </row>
    <row r="15" spans="2:4">
      <c r="B15" s="52" t="s">
        <v>856</v>
      </c>
      <c r="C15" s="170">
        <f>SUM(C13:C14)</f>
        <v>-176983332</v>
      </c>
      <c r="D15" s="170">
        <f>SUM(D13:D14)</f>
        <v>65924255</v>
      </c>
    </row>
    <row r="18" spans="3:3">
      <c r="C18" s="58">
        <f>+C11+C15-'ESTADOS DE RESULTADOS 31 12 22'!E84</f>
        <v>0</v>
      </c>
    </row>
  </sheetData>
  <mergeCells count="1">
    <mergeCell ref="B5:D5"/>
  </mergeCells>
  <hyperlinks>
    <hyperlink ref="B3" location="'ESTADOS DE RESULTADOS 30_09_22'!A1" display="y)       Resultados Financieros" xr:uid="{F06DB941-09F5-4CCD-9096-F6969776BCE9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002060"/>
  </sheetPr>
  <dimension ref="B1:D17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23.85546875" style="28" customWidth="1"/>
    <col min="2" max="2" width="37.7109375" style="28" bestFit="1" customWidth="1"/>
    <col min="3" max="3" width="13.7109375" style="28" bestFit="1" customWidth="1"/>
    <col min="4" max="4" width="13.28515625" style="28" bestFit="1" customWidth="1"/>
    <col min="5" max="16384" width="11.42578125" style="28"/>
  </cols>
  <sheetData>
    <row r="1" spans="2:4" ht="15">
      <c r="B1" s="180"/>
    </row>
    <row r="3" spans="2:4" ht="15">
      <c r="B3" s="372" t="s">
        <v>1074</v>
      </c>
    </row>
    <row r="5" spans="2:4">
      <c r="B5" s="713" t="s">
        <v>970</v>
      </c>
      <c r="C5" s="713"/>
      <c r="D5" s="713"/>
    </row>
    <row r="7" spans="2:4">
      <c r="B7" s="107" t="s">
        <v>824</v>
      </c>
      <c r="C7" s="107" t="str">
        <f>+'NOTA Y RESULTADOS FINANC'!C7</f>
        <v>Al 31/12/2022</v>
      </c>
      <c r="D7" s="107" t="str">
        <f>+'NOTA W OTROS GASTOS OPER'!D7</f>
        <v>Al 31/12/2021</v>
      </c>
    </row>
    <row r="8" spans="2:4">
      <c r="B8" s="52" t="s">
        <v>147</v>
      </c>
      <c r="C8" s="174">
        <f>C9+C10</f>
        <v>0</v>
      </c>
      <c r="D8" s="52"/>
    </row>
    <row r="9" spans="2:4">
      <c r="B9" s="36" t="s">
        <v>1075</v>
      </c>
      <c r="C9" s="173">
        <v>0</v>
      </c>
      <c r="D9" s="172">
        <v>0</v>
      </c>
    </row>
    <row r="10" spans="2:4">
      <c r="B10" s="52" t="s">
        <v>856</v>
      </c>
      <c r="C10" s="174">
        <f>SUM(C9)</f>
        <v>0</v>
      </c>
      <c r="D10" s="174">
        <f>SUM(D9)</f>
        <v>0</v>
      </c>
    </row>
    <row r="11" spans="2:4">
      <c r="B11" s="52" t="s">
        <v>1076</v>
      </c>
      <c r="C11" s="174">
        <f>+C12+C13</f>
        <v>20196280</v>
      </c>
      <c r="D11" s="52"/>
    </row>
    <row r="12" spans="2:4">
      <c r="B12" s="36" t="s">
        <v>1077</v>
      </c>
      <c r="C12" s="173">
        <v>0</v>
      </c>
      <c r="D12" s="173">
        <v>0</v>
      </c>
    </row>
    <row r="13" spans="2:4">
      <c r="B13" s="36" t="s">
        <v>1078</v>
      </c>
      <c r="C13" s="173">
        <f>'ESTADOS DE RESULTADOS 31 12 22'!E95</f>
        <v>20196280</v>
      </c>
      <c r="D13" s="173"/>
    </row>
    <row r="14" spans="2:4">
      <c r="B14" s="52" t="s">
        <v>856</v>
      </c>
      <c r="C14" s="174">
        <f>+C8-C11</f>
        <v>-20196280</v>
      </c>
      <c r="D14" s="174">
        <f>SUM(D12)</f>
        <v>0</v>
      </c>
    </row>
    <row r="17" spans="3:3">
      <c r="C17" s="58">
        <f>+C14-'ESTADOS DE RESULTADOS 31 12 22'!E93</f>
        <v>0</v>
      </c>
    </row>
  </sheetData>
  <mergeCells count="1">
    <mergeCell ref="B5:D5"/>
  </mergeCells>
  <hyperlinks>
    <hyperlink ref="B3" location="'ESTADOS DE RESULTADOS 30_09_22'!A1" display="z)  Resultados Extraordinarios " xr:uid="{DC8EE314-95F9-4287-9659-3ED24EF51C04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68"/>
  <sheetViews>
    <sheetView showGridLines="0" zoomScale="110" zoomScaleNormal="110" workbookViewId="0">
      <selection activeCell="A3" sqref="A3"/>
    </sheetView>
  </sheetViews>
  <sheetFormatPr baseColWidth="10" defaultColWidth="11.28515625" defaultRowHeight="12.75"/>
  <cols>
    <col min="1" max="1" width="21.28515625" style="5" bestFit="1" customWidth="1"/>
    <col min="2" max="2" width="10.140625" style="5" bestFit="1" customWidth="1"/>
    <col min="3" max="3" width="42" style="5" bestFit="1" customWidth="1"/>
    <col min="4" max="4" width="39.28515625" style="7" bestFit="1" customWidth="1"/>
    <col min="5" max="5" width="49.85546875" style="5" bestFit="1" customWidth="1"/>
    <col min="6" max="6" width="9.140625" style="5" customWidth="1"/>
    <col min="7" max="7" width="11.140625" style="5" hidden="1" customWidth="1"/>
    <col min="8" max="8" width="9.85546875" style="5" hidden="1" customWidth="1"/>
    <col min="9" max="9" width="12.7109375" style="5" hidden="1" customWidth="1"/>
    <col min="10" max="10" width="16.140625" style="5" hidden="1" customWidth="1"/>
    <col min="11" max="11" width="4.140625" style="5" hidden="1" customWidth="1"/>
    <col min="12" max="16384" width="11.28515625" style="5"/>
  </cols>
  <sheetData>
    <row r="1" spans="1:10" ht="55.35" customHeight="1">
      <c r="G1" s="465" t="s">
        <v>204</v>
      </c>
      <c r="H1" s="465" t="s">
        <v>205</v>
      </c>
    </row>
    <row r="2" spans="1:10" ht="14.45" customHeight="1">
      <c r="B2" s="684" t="s">
        <v>206</v>
      </c>
      <c r="C2" s="684"/>
      <c r="D2" s="684"/>
      <c r="G2" s="5" t="s">
        <v>207</v>
      </c>
      <c r="I2" s="594" t="s">
        <v>208</v>
      </c>
      <c r="J2" s="594" t="s">
        <v>209</v>
      </c>
    </row>
    <row r="3" spans="1:10" ht="14.45" customHeight="1">
      <c r="B3" s="684" t="s">
        <v>210</v>
      </c>
      <c r="C3" s="684"/>
      <c r="D3" s="684"/>
      <c r="G3" s="5" t="s">
        <v>211</v>
      </c>
      <c r="I3" s="594" t="s">
        <v>212</v>
      </c>
      <c r="J3" s="594" t="s">
        <v>213</v>
      </c>
    </row>
    <row r="6" spans="1:10" ht="41.1" customHeight="1">
      <c r="A6" s="6" t="s">
        <v>214</v>
      </c>
      <c r="B6" s="683" t="str">
        <f>I3</f>
        <v>Al 31/12/2022</v>
      </c>
      <c r="C6" s="683"/>
      <c r="D6" s="683"/>
    </row>
    <row r="7" spans="1:10" ht="12.75" hidden="1" customHeight="1">
      <c r="A7" s="8"/>
      <c r="B7" s="8"/>
      <c r="C7" s="8"/>
      <c r="D7" s="9"/>
    </row>
    <row r="8" spans="1:10">
      <c r="A8" s="10"/>
    </row>
    <row r="9" spans="1:10" ht="26.25" customHeight="1">
      <c r="B9" s="11"/>
      <c r="C9" s="12" t="s">
        <v>215</v>
      </c>
      <c r="D9" s="13" t="s">
        <v>216</v>
      </c>
    </row>
    <row r="10" spans="1:10" ht="26.25" customHeight="1">
      <c r="B10" s="14" t="s">
        <v>217</v>
      </c>
      <c r="C10" s="15"/>
      <c r="D10" s="4"/>
    </row>
    <row r="11" spans="1:10" ht="26.25" customHeight="1">
      <c r="B11" s="16"/>
      <c r="C11" s="15"/>
      <c r="D11" s="17"/>
    </row>
    <row r="12" spans="1:10" ht="26.25" customHeight="1">
      <c r="B12" s="14" t="s">
        <v>218</v>
      </c>
      <c r="C12" s="18"/>
      <c r="D12" s="17"/>
    </row>
    <row r="13" spans="1:10">
      <c r="A13" s="7"/>
      <c r="B13" s="16"/>
      <c r="C13" s="5" t="s">
        <v>219</v>
      </c>
      <c r="D13" s="2" t="s">
        <v>220</v>
      </c>
    </row>
    <row r="14" spans="1:10">
      <c r="A14" s="7"/>
      <c r="B14" s="16"/>
      <c r="C14" s="5" t="s">
        <v>221</v>
      </c>
      <c r="D14" s="2" t="s">
        <v>222</v>
      </c>
    </row>
    <row r="15" spans="1:10">
      <c r="A15" s="7"/>
      <c r="B15" s="16"/>
      <c r="C15" s="5" t="s">
        <v>223</v>
      </c>
      <c r="D15" s="2" t="s">
        <v>224</v>
      </c>
    </row>
    <row r="16" spans="1:10">
      <c r="A16" s="7"/>
      <c r="B16" s="16"/>
      <c r="C16" s="5" t="s">
        <v>225</v>
      </c>
      <c r="D16" s="2" t="s">
        <v>226</v>
      </c>
    </row>
    <row r="17" spans="1:4">
      <c r="A17" s="7"/>
      <c r="B17" s="16"/>
      <c r="C17" s="5" t="s">
        <v>227</v>
      </c>
      <c r="D17" s="2" t="s">
        <v>228</v>
      </c>
    </row>
    <row r="18" spans="1:4">
      <c r="A18" s="7"/>
      <c r="B18" s="16"/>
      <c r="C18" s="5" t="s">
        <v>229</v>
      </c>
      <c r="D18" s="2" t="s">
        <v>230</v>
      </c>
    </row>
    <row r="19" spans="1:4" ht="15">
      <c r="A19" s="7"/>
      <c r="B19" s="16"/>
      <c r="C19" s="5" t="s">
        <v>231</v>
      </c>
      <c r="D19" s="19" t="s">
        <v>232</v>
      </c>
    </row>
    <row r="20" spans="1:4" ht="15">
      <c r="A20" s="7"/>
      <c r="B20" s="16"/>
      <c r="C20" s="5" t="s">
        <v>233</v>
      </c>
      <c r="D20" s="19" t="s">
        <v>232</v>
      </c>
    </row>
    <row r="21" spans="1:4" ht="15">
      <c r="A21" s="7"/>
      <c r="B21" s="16"/>
      <c r="C21" s="5" t="s">
        <v>234</v>
      </c>
      <c r="D21" s="19" t="s">
        <v>232</v>
      </c>
    </row>
    <row r="22" spans="1:4" ht="15">
      <c r="A22" s="7"/>
      <c r="B22" s="16"/>
      <c r="D22" s="19"/>
    </row>
    <row r="23" spans="1:4" ht="15">
      <c r="A23" s="7"/>
      <c r="B23" s="14" t="s">
        <v>235</v>
      </c>
      <c r="D23" s="20"/>
    </row>
    <row r="24" spans="1:4">
      <c r="A24" s="7"/>
      <c r="B24" s="16"/>
      <c r="D24" s="4"/>
    </row>
    <row r="25" spans="1:4">
      <c r="A25" s="7"/>
      <c r="B25" s="16"/>
      <c r="C25" s="21" t="s">
        <v>236</v>
      </c>
      <c r="D25" s="2" t="s">
        <v>237</v>
      </c>
    </row>
    <row r="26" spans="1:4">
      <c r="A26" s="7"/>
      <c r="B26" s="16"/>
      <c r="C26" s="21" t="s">
        <v>238</v>
      </c>
      <c r="D26" s="2" t="s">
        <v>239</v>
      </c>
    </row>
    <row r="27" spans="1:4">
      <c r="A27" s="7"/>
      <c r="B27" s="16"/>
      <c r="C27" s="21" t="s">
        <v>240</v>
      </c>
      <c r="D27" s="2" t="s">
        <v>241</v>
      </c>
    </row>
    <row r="28" spans="1:4">
      <c r="A28" s="7"/>
      <c r="B28" s="16"/>
      <c r="C28" s="21" t="s">
        <v>242</v>
      </c>
      <c r="D28" s="2" t="s">
        <v>241</v>
      </c>
    </row>
    <row r="29" spans="1:4">
      <c r="A29" s="7"/>
      <c r="B29" s="16"/>
      <c r="C29" s="21" t="s">
        <v>243</v>
      </c>
      <c r="D29" s="3"/>
    </row>
    <row r="30" spans="1:4">
      <c r="A30" s="7"/>
      <c r="B30" s="16"/>
      <c r="C30" s="5" t="s">
        <v>244</v>
      </c>
      <c r="D30" s="2" t="s">
        <v>245</v>
      </c>
    </row>
    <row r="31" spans="1:4">
      <c r="A31" s="7"/>
      <c r="B31" s="16"/>
      <c r="C31" s="5" t="s">
        <v>246</v>
      </c>
      <c r="D31" s="2" t="s">
        <v>245</v>
      </c>
    </row>
    <row r="32" spans="1:4">
      <c r="A32" s="7"/>
      <c r="B32" s="16"/>
      <c r="C32" s="5" t="s">
        <v>247</v>
      </c>
      <c r="D32" s="2" t="s">
        <v>245</v>
      </c>
    </row>
    <row r="33" spans="1:4">
      <c r="A33" s="7"/>
      <c r="B33" s="16"/>
      <c r="C33" s="5" t="s">
        <v>248</v>
      </c>
      <c r="D33" s="2" t="s">
        <v>249</v>
      </c>
    </row>
    <row r="34" spans="1:4">
      <c r="A34" s="7"/>
      <c r="B34" s="16"/>
      <c r="C34" s="5" t="s">
        <v>250</v>
      </c>
      <c r="D34" s="2" t="s">
        <v>251</v>
      </c>
    </row>
    <row r="35" spans="1:4">
      <c r="A35" s="7"/>
      <c r="B35" s="16"/>
      <c r="C35" s="5" t="s">
        <v>252</v>
      </c>
      <c r="D35" s="2" t="s">
        <v>253</v>
      </c>
    </row>
    <row r="36" spans="1:4">
      <c r="A36" s="7"/>
      <c r="B36" s="16"/>
      <c r="C36" s="5" t="s">
        <v>254</v>
      </c>
      <c r="D36" s="2" t="s">
        <v>255</v>
      </c>
    </row>
    <row r="37" spans="1:4">
      <c r="A37" s="7"/>
      <c r="B37" s="16"/>
      <c r="C37" s="5" t="s">
        <v>256</v>
      </c>
      <c r="D37" s="2" t="s">
        <v>257</v>
      </c>
    </row>
    <row r="38" spans="1:4">
      <c r="A38" s="7"/>
      <c r="B38" s="16"/>
      <c r="C38" s="5" t="s">
        <v>258</v>
      </c>
      <c r="D38" s="2" t="s">
        <v>259</v>
      </c>
    </row>
    <row r="39" spans="1:4">
      <c r="A39" s="7"/>
      <c r="B39" s="16"/>
      <c r="C39" s="5" t="s">
        <v>260</v>
      </c>
      <c r="D39" s="2" t="s">
        <v>261</v>
      </c>
    </row>
    <row r="40" spans="1:4">
      <c r="A40" s="7"/>
      <c r="B40" s="16"/>
      <c r="C40" s="5" t="s">
        <v>262</v>
      </c>
      <c r="D40" s="2" t="s">
        <v>263</v>
      </c>
    </row>
    <row r="41" spans="1:4">
      <c r="A41" s="7"/>
      <c r="B41" s="16"/>
      <c r="C41" s="5" t="s">
        <v>264</v>
      </c>
      <c r="D41" s="2" t="s">
        <v>265</v>
      </c>
    </row>
    <row r="42" spans="1:4">
      <c r="A42" s="7"/>
      <c r="B42" s="16"/>
      <c r="C42" s="5" t="s">
        <v>266</v>
      </c>
      <c r="D42" s="2" t="s">
        <v>267</v>
      </c>
    </row>
    <row r="43" spans="1:4">
      <c r="A43" s="7"/>
      <c r="B43" s="16"/>
      <c r="C43" s="5" t="s">
        <v>268</v>
      </c>
      <c r="D43" s="2" t="s">
        <v>267</v>
      </c>
    </row>
    <row r="44" spans="1:4">
      <c r="A44" s="7"/>
      <c r="B44" s="16"/>
      <c r="C44" s="5" t="s">
        <v>269</v>
      </c>
      <c r="D44" s="2" t="s">
        <v>267</v>
      </c>
    </row>
    <row r="45" spans="1:4">
      <c r="A45" s="7"/>
      <c r="B45" s="16"/>
      <c r="C45" s="5" t="s">
        <v>270</v>
      </c>
      <c r="D45" s="2" t="s">
        <v>267</v>
      </c>
    </row>
    <row r="46" spans="1:4">
      <c r="A46" s="7"/>
      <c r="B46" s="16"/>
      <c r="C46" s="5" t="s">
        <v>271</v>
      </c>
      <c r="D46" s="2" t="s">
        <v>267</v>
      </c>
    </row>
    <row r="47" spans="1:4">
      <c r="A47" s="7"/>
      <c r="B47" s="16"/>
      <c r="C47" s="5" t="s">
        <v>272</v>
      </c>
      <c r="D47" s="2" t="s">
        <v>273</v>
      </c>
    </row>
    <row r="48" spans="1:4">
      <c r="A48" s="7"/>
      <c r="B48" s="16"/>
      <c r="C48" s="5" t="s">
        <v>274</v>
      </c>
      <c r="D48" s="2" t="s">
        <v>275</v>
      </c>
    </row>
    <row r="49" spans="1:4">
      <c r="A49" s="7"/>
      <c r="B49" s="16"/>
      <c r="C49" s="5" t="s">
        <v>276</v>
      </c>
      <c r="D49" s="2" t="s">
        <v>277</v>
      </c>
    </row>
    <row r="50" spans="1:4">
      <c r="A50" s="7"/>
      <c r="B50" s="16"/>
      <c r="C50" s="5" t="s">
        <v>278</v>
      </c>
      <c r="D50" s="2" t="s">
        <v>277</v>
      </c>
    </row>
    <row r="51" spans="1:4">
      <c r="A51" s="7"/>
      <c r="B51" s="16"/>
      <c r="C51" s="5" t="s">
        <v>279</v>
      </c>
      <c r="D51" s="2" t="s">
        <v>280</v>
      </c>
    </row>
    <row r="52" spans="1:4">
      <c r="A52" s="7"/>
      <c r="B52" s="14"/>
      <c r="C52" s="5" t="s">
        <v>281</v>
      </c>
      <c r="D52" s="2" t="s">
        <v>282</v>
      </c>
    </row>
    <row r="53" spans="1:4">
      <c r="A53" s="7"/>
      <c r="B53" s="16"/>
      <c r="C53" s="5" t="s">
        <v>283</v>
      </c>
      <c r="D53" s="2" t="s">
        <v>284</v>
      </c>
    </row>
    <row r="54" spans="1:4">
      <c r="A54" s="7"/>
      <c r="B54" s="16"/>
      <c r="C54" s="5" t="s">
        <v>285</v>
      </c>
      <c r="D54" s="2" t="s">
        <v>286</v>
      </c>
    </row>
    <row r="55" spans="1:4">
      <c r="A55" s="7"/>
      <c r="B55" s="16"/>
      <c r="C55" s="5" t="s">
        <v>287</v>
      </c>
      <c r="D55" s="2" t="s">
        <v>288</v>
      </c>
    </row>
    <row r="56" spans="1:4">
      <c r="A56" s="7"/>
      <c r="B56" s="16"/>
      <c r="D56" s="3"/>
    </row>
    <row r="57" spans="1:4">
      <c r="A57" s="7"/>
      <c r="B57" s="16"/>
      <c r="C57" s="21" t="s">
        <v>289</v>
      </c>
      <c r="D57" s="2" t="s">
        <v>290</v>
      </c>
    </row>
    <row r="58" spans="1:4">
      <c r="A58" s="7"/>
      <c r="B58" s="16"/>
      <c r="C58" s="5" t="s">
        <v>291</v>
      </c>
      <c r="D58" s="3"/>
    </row>
    <row r="59" spans="1:4">
      <c r="A59" s="7"/>
      <c r="B59" s="16"/>
      <c r="C59" s="5" t="s">
        <v>292</v>
      </c>
      <c r="D59" s="3"/>
    </row>
    <row r="60" spans="1:4" ht="15">
      <c r="A60" s="7"/>
      <c r="B60" s="16"/>
      <c r="C60" s="5" t="s">
        <v>293</v>
      </c>
      <c r="D60" s="19"/>
    </row>
    <row r="61" spans="1:4" ht="15">
      <c r="A61" s="7"/>
      <c r="B61" s="16"/>
      <c r="C61" s="5" t="s">
        <v>294</v>
      </c>
      <c r="D61" s="19"/>
    </row>
    <row r="62" spans="1:4" ht="15">
      <c r="A62" s="7"/>
      <c r="B62" s="16"/>
      <c r="C62" s="5" t="s">
        <v>295</v>
      </c>
      <c r="D62" s="19"/>
    </row>
    <row r="63" spans="1:4" ht="15">
      <c r="A63" s="7"/>
      <c r="B63" s="16"/>
      <c r="C63" s="5" t="s">
        <v>296</v>
      </c>
      <c r="D63" s="19"/>
    </row>
    <row r="64" spans="1:4" ht="15">
      <c r="A64" s="7"/>
      <c r="B64" s="16"/>
      <c r="C64" s="5" t="s">
        <v>297</v>
      </c>
      <c r="D64" s="19"/>
    </row>
    <row r="65" spans="1:4" ht="15">
      <c r="A65" s="7"/>
      <c r="B65" s="16"/>
      <c r="C65" s="5" t="s">
        <v>298</v>
      </c>
      <c r="D65" s="19"/>
    </row>
    <row r="66" spans="1:4" ht="15">
      <c r="A66" s="7"/>
      <c r="B66" s="16"/>
      <c r="D66" s="19"/>
    </row>
    <row r="67" spans="1:4" ht="15">
      <c r="A67" s="7"/>
      <c r="B67" s="22"/>
      <c r="C67" s="23"/>
      <c r="D67" s="24"/>
    </row>
    <row r="68" spans="1:4" ht="21" customHeight="1">
      <c r="A68" s="25"/>
      <c r="D68" s="26"/>
    </row>
  </sheetData>
  <mergeCells count="3">
    <mergeCell ref="B6:D6"/>
    <mergeCell ref="B2:D2"/>
    <mergeCell ref="B3:D3"/>
  </mergeCells>
  <pageMargins left="0.7" right="0.7" top="0.75" bottom="0.75" header="0.3" footer="0.3"/>
  <pageSetup orientation="portrait" verticalDpi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002060"/>
  </sheetPr>
  <dimension ref="B1:B31"/>
  <sheetViews>
    <sheetView showGridLines="0" zoomScale="110" zoomScaleNormal="110" workbookViewId="0">
      <selection activeCell="A3" sqref="A3"/>
    </sheetView>
  </sheetViews>
  <sheetFormatPr baseColWidth="10" defaultColWidth="9.140625" defaultRowHeight="12"/>
  <cols>
    <col min="1" max="1" width="7" style="28" customWidth="1"/>
    <col min="2" max="2" width="93.140625" style="28" customWidth="1"/>
    <col min="3" max="255" width="11.42578125" style="28" customWidth="1"/>
    <col min="256" max="16384" width="9.140625" style="28"/>
  </cols>
  <sheetData>
    <row r="1" spans="2:2" ht="15">
      <c r="B1" s="180"/>
    </row>
    <row r="3" spans="2:2">
      <c r="B3" s="29" t="s">
        <v>1079</v>
      </c>
    </row>
    <row r="4" spans="2:2">
      <c r="B4" s="29" t="s">
        <v>1080</v>
      </c>
    </row>
    <row r="5" spans="2:2">
      <c r="B5" s="86" t="s">
        <v>1081</v>
      </c>
    </row>
    <row r="6" spans="2:2">
      <c r="B6" s="29" t="s">
        <v>1082</v>
      </c>
    </row>
    <row r="7" spans="2:2">
      <c r="B7" s="86" t="s">
        <v>1081</v>
      </c>
    </row>
    <row r="8" spans="2:2">
      <c r="B8" s="86"/>
    </row>
    <row r="9" spans="2:2">
      <c r="B9" s="29" t="s">
        <v>1083</v>
      </c>
    </row>
    <row r="10" spans="2:2" ht="36">
      <c r="B10" s="366" t="s">
        <v>1084</v>
      </c>
    </row>
    <row r="11" spans="2:2">
      <c r="B11" s="366"/>
    </row>
    <row r="12" spans="2:2">
      <c r="B12" s="29" t="s">
        <v>1085</v>
      </c>
    </row>
    <row r="13" spans="2:2">
      <c r="B13" s="86" t="s">
        <v>1086</v>
      </c>
    </row>
    <row r="14" spans="2:2">
      <c r="B14" s="86"/>
    </row>
    <row r="15" spans="2:2" ht="28.35" customHeight="1">
      <c r="B15" s="310" t="s">
        <v>1087</v>
      </c>
    </row>
    <row r="16" spans="2:2">
      <c r="B16" s="86" t="s">
        <v>1086</v>
      </c>
    </row>
    <row r="17" spans="2:2">
      <c r="B17" s="86"/>
    </row>
    <row r="18" spans="2:2">
      <c r="B18" s="29" t="s">
        <v>1088</v>
      </c>
    </row>
    <row r="19" spans="2:2">
      <c r="B19" s="86" t="s">
        <v>1086</v>
      </c>
    </row>
    <row r="20" spans="2:2">
      <c r="B20" s="86"/>
    </row>
    <row r="21" spans="2:2">
      <c r="B21" s="29" t="s">
        <v>1089</v>
      </c>
    </row>
    <row r="22" spans="2:2">
      <c r="B22" s="86" t="s">
        <v>1086</v>
      </c>
    </row>
    <row r="23" spans="2:2">
      <c r="B23" s="86"/>
    </row>
    <row r="24" spans="2:2">
      <c r="B24" s="29" t="s">
        <v>1090</v>
      </c>
    </row>
    <row r="25" spans="2:2">
      <c r="B25" s="86" t="s">
        <v>1091</v>
      </c>
    </row>
    <row r="31" spans="2:2" ht="9.6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9AA4-58F1-4C01-A983-9E8C86C1A922}">
  <sheetPr>
    <tabColor rgb="FF002060"/>
  </sheetPr>
  <dimension ref="A1:K275"/>
  <sheetViews>
    <sheetView showGridLines="0" tabSelected="1" topLeftCell="A69" zoomScale="110" zoomScaleNormal="110" workbookViewId="0">
      <selection activeCell="G96" sqref="G96"/>
    </sheetView>
  </sheetViews>
  <sheetFormatPr baseColWidth="10" defaultColWidth="11.42578125" defaultRowHeight="12"/>
  <cols>
    <col min="1" max="1" width="4" style="98" customWidth="1"/>
    <col min="2" max="2" width="40.85546875" style="98" bestFit="1" customWidth="1"/>
    <col min="3" max="3" width="19.28515625" style="98" customWidth="1"/>
    <col min="4" max="4" width="20" style="98" bestFit="1" customWidth="1"/>
    <col min="5" max="5" width="35.28515625" style="98" customWidth="1"/>
    <col min="6" max="6" width="11.42578125" style="28"/>
    <col min="7" max="7" width="22.140625" style="28" customWidth="1"/>
    <col min="8" max="8" width="11.42578125" style="28"/>
    <col min="9" max="9" width="14.42578125" style="334" bestFit="1" customWidth="1"/>
    <col min="10" max="10" width="12" style="28" bestFit="1" customWidth="1"/>
    <col min="11" max="16384" width="11.42578125" style="28"/>
  </cols>
  <sheetData>
    <row r="1" spans="1:11" ht="55.35" customHeight="1">
      <c r="A1" s="311"/>
    </row>
    <row r="2" spans="1:11">
      <c r="A2" s="311"/>
    </row>
    <row r="3" spans="1:11">
      <c r="A3" s="335"/>
      <c r="B3" s="336" t="s">
        <v>299</v>
      </c>
      <c r="C3" s="335"/>
      <c r="D3" s="335"/>
      <c r="E3" s="335"/>
      <c r="F3" s="335"/>
      <c r="G3" s="335"/>
      <c r="H3" s="335"/>
      <c r="I3" s="335"/>
      <c r="J3" s="335"/>
      <c r="K3" s="335"/>
    </row>
    <row r="4" spans="1:1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</row>
    <row r="5" spans="1:11" ht="20.45" customHeight="1">
      <c r="A5" s="335"/>
      <c r="B5" s="337" t="s">
        <v>300</v>
      </c>
      <c r="C5" s="335"/>
      <c r="D5" s="335"/>
      <c r="E5" s="335"/>
      <c r="F5" s="335"/>
      <c r="G5" s="335"/>
      <c r="H5" s="335"/>
      <c r="I5" s="335"/>
      <c r="J5" s="335"/>
      <c r="K5" s="335"/>
    </row>
    <row r="6" spans="1:11" ht="20.45" customHeight="1">
      <c r="A6" s="335"/>
      <c r="B6" s="335"/>
      <c r="C6" s="338" t="s">
        <v>301</v>
      </c>
      <c r="D6" s="335" t="s">
        <v>302</v>
      </c>
      <c r="E6" s="335"/>
      <c r="F6" s="335"/>
      <c r="G6" s="335"/>
      <c r="H6" s="335"/>
      <c r="I6" s="335"/>
      <c r="J6" s="335"/>
      <c r="K6" s="335"/>
    </row>
    <row r="7" spans="1:11" ht="20.45" customHeight="1">
      <c r="A7" s="335"/>
      <c r="B7" s="339"/>
      <c r="C7" s="335" t="s">
        <v>303</v>
      </c>
      <c r="D7" s="335" t="s">
        <v>304</v>
      </c>
      <c r="E7" s="339"/>
      <c r="F7" s="335"/>
      <c r="G7" s="335"/>
      <c r="H7" s="335"/>
      <c r="I7" s="335"/>
      <c r="J7" s="335"/>
      <c r="K7" s="335"/>
    </row>
    <row r="8" spans="1:11" ht="20.45" customHeight="1">
      <c r="A8" s="335"/>
      <c r="B8" s="339"/>
      <c r="C8" s="335" t="s">
        <v>305</v>
      </c>
      <c r="D8" s="349">
        <v>14822</v>
      </c>
      <c r="E8" s="339"/>
      <c r="F8" s="335"/>
      <c r="G8" s="335"/>
      <c r="H8" s="335"/>
      <c r="I8" s="335"/>
      <c r="J8" s="335"/>
      <c r="K8" s="335"/>
    </row>
    <row r="9" spans="1:11" ht="20.45" customHeight="1">
      <c r="A9" s="335"/>
      <c r="B9" s="339"/>
      <c r="C9" s="338" t="s">
        <v>306</v>
      </c>
      <c r="D9" s="335" t="s">
        <v>307</v>
      </c>
      <c r="E9" s="335"/>
      <c r="F9" s="335"/>
      <c r="G9" s="335"/>
      <c r="H9" s="335"/>
      <c r="I9" s="335"/>
      <c r="J9" s="335"/>
      <c r="K9" s="335"/>
    </row>
    <row r="10" spans="1:11">
      <c r="A10" s="335"/>
      <c r="B10" s="339"/>
      <c r="C10" s="335" t="s">
        <v>308</v>
      </c>
      <c r="D10" s="338" t="s">
        <v>309</v>
      </c>
      <c r="E10" s="335"/>
      <c r="F10" s="335"/>
      <c r="G10" s="335"/>
      <c r="H10" s="335"/>
      <c r="I10" s="335"/>
      <c r="J10" s="335"/>
      <c r="K10" s="335"/>
    </row>
    <row r="11" spans="1:11" ht="14.45" customHeight="1">
      <c r="A11" s="335"/>
      <c r="B11" s="339"/>
      <c r="C11" s="335" t="s">
        <v>310</v>
      </c>
      <c r="D11" s="340" t="s">
        <v>311</v>
      </c>
      <c r="E11" s="335"/>
      <c r="F11" s="335"/>
      <c r="G11" s="335"/>
      <c r="H11" s="335"/>
      <c r="I11" s="335"/>
      <c r="J11" s="335"/>
      <c r="K11" s="335"/>
    </row>
    <row r="12" spans="1:11">
      <c r="A12" s="335"/>
      <c r="B12" s="339"/>
      <c r="C12" s="335" t="s">
        <v>312</v>
      </c>
      <c r="D12" s="340" t="s">
        <v>313</v>
      </c>
      <c r="E12" s="335"/>
      <c r="F12" s="335"/>
      <c r="G12" s="335"/>
      <c r="H12" s="335"/>
      <c r="I12" s="335"/>
      <c r="J12" s="335"/>
      <c r="K12" s="335"/>
    </row>
    <row r="13" spans="1:11">
      <c r="A13" s="335"/>
      <c r="B13" s="339"/>
      <c r="C13" s="335" t="s">
        <v>314</v>
      </c>
      <c r="D13" s="335" t="s">
        <v>307</v>
      </c>
      <c r="E13" s="335"/>
      <c r="F13" s="335"/>
      <c r="G13" s="335"/>
      <c r="H13" s="335"/>
      <c r="I13" s="335"/>
      <c r="J13" s="335"/>
      <c r="K13" s="335"/>
    </row>
    <row r="14" spans="1:11" ht="20.45" customHeight="1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</row>
    <row r="15" spans="1:11" ht="20.45" customHeight="1">
      <c r="A15" s="335"/>
      <c r="B15" s="341" t="s">
        <v>315</v>
      </c>
      <c r="C15" s="335"/>
      <c r="D15" s="335"/>
      <c r="E15" s="335"/>
      <c r="F15" s="335"/>
      <c r="G15" s="335"/>
      <c r="H15" s="335"/>
      <c r="I15" s="335"/>
      <c r="J15" s="335"/>
      <c r="K15" s="335"/>
    </row>
    <row r="16" spans="1:11">
      <c r="A16" s="335"/>
      <c r="B16" s="335"/>
      <c r="C16" s="335" t="s">
        <v>316</v>
      </c>
      <c r="D16" s="335"/>
      <c r="E16" s="335"/>
      <c r="F16" s="335"/>
      <c r="G16" s="335"/>
      <c r="H16" s="335"/>
      <c r="I16" s="335"/>
      <c r="J16" s="335"/>
      <c r="K16" s="335"/>
    </row>
    <row r="17" spans="1:11">
      <c r="A17" s="335"/>
      <c r="B17" s="335"/>
      <c r="C17" s="335" t="s">
        <v>317</v>
      </c>
      <c r="D17" s="335"/>
      <c r="E17" s="335"/>
      <c r="F17" s="335"/>
      <c r="G17" s="335"/>
      <c r="H17" s="335"/>
      <c r="I17" s="335"/>
      <c r="J17" s="335"/>
      <c r="K17" s="335"/>
    </row>
    <row r="18" spans="1:11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335"/>
    </row>
    <row r="19" spans="1:11">
      <c r="A19" s="335"/>
      <c r="B19" s="341" t="s">
        <v>318</v>
      </c>
      <c r="C19" s="335"/>
      <c r="D19" s="335"/>
      <c r="E19" s="335"/>
      <c r="F19" s="335"/>
      <c r="G19" s="335"/>
      <c r="H19" s="335"/>
      <c r="I19" s="335"/>
      <c r="J19" s="335"/>
      <c r="K19" s="335"/>
    </row>
    <row r="20" spans="1:11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</row>
    <row r="21" spans="1:11">
      <c r="A21" s="335"/>
      <c r="B21" s="335"/>
      <c r="C21" s="406" t="s">
        <v>319</v>
      </c>
      <c r="D21" s="685" t="s">
        <v>320</v>
      </c>
      <c r="E21" s="685"/>
      <c r="F21" s="685"/>
      <c r="G21" s="335"/>
      <c r="H21" s="335"/>
      <c r="I21" s="335"/>
      <c r="J21" s="335"/>
      <c r="K21" s="335"/>
    </row>
    <row r="22" spans="1:11">
      <c r="A22" s="335"/>
      <c r="B22" s="335"/>
      <c r="C22" s="342" t="s">
        <v>321</v>
      </c>
      <c r="D22" s="686" t="s">
        <v>322</v>
      </c>
      <c r="E22" s="686"/>
      <c r="F22" s="686"/>
      <c r="G22" s="335"/>
      <c r="H22" s="335"/>
      <c r="I22" s="335"/>
      <c r="J22" s="335"/>
      <c r="K22" s="335"/>
    </row>
    <row r="23" spans="1:11">
      <c r="A23" s="335"/>
      <c r="B23" s="335"/>
      <c r="C23" s="342" t="s">
        <v>323</v>
      </c>
      <c r="D23" s="686" t="s">
        <v>324</v>
      </c>
      <c r="E23" s="686"/>
      <c r="F23" s="686"/>
      <c r="G23" s="335"/>
      <c r="H23" s="335"/>
      <c r="I23" s="335"/>
      <c r="J23" s="335"/>
      <c r="K23" s="335"/>
    </row>
    <row r="24" spans="1:11">
      <c r="A24" s="335"/>
      <c r="B24" s="335"/>
      <c r="C24" s="342" t="s">
        <v>323</v>
      </c>
      <c r="D24" s="686" t="s">
        <v>325</v>
      </c>
      <c r="E24" s="686"/>
      <c r="F24" s="686"/>
      <c r="G24" s="335"/>
      <c r="H24" s="335"/>
      <c r="I24" s="335"/>
      <c r="J24" s="335"/>
      <c r="K24" s="335"/>
    </row>
    <row r="25" spans="1:11">
      <c r="A25" s="335"/>
      <c r="B25" s="335"/>
      <c r="C25" s="342" t="s">
        <v>326</v>
      </c>
      <c r="D25" s="686" t="s">
        <v>327</v>
      </c>
      <c r="E25" s="686"/>
      <c r="F25" s="686"/>
      <c r="G25" s="335"/>
      <c r="H25" s="335"/>
      <c r="I25" s="335"/>
      <c r="J25" s="335"/>
      <c r="K25" s="335"/>
    </row>
    <row r="26" spans="1:11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335"/>
    </row>
    <row r="27" spans="1:11">
      <c r="A27" s="335"/>
      <c r="B27" s="341" t="s">
        <v>328</v>
      </c>
      <c r="C27" s="335"/>
      <c r="D27" s="335"/>
      <c r="E27" s="335"/>
      <c r="F27" s="335"/>
      <c r="G27" s="335"/>
      <c r="H27" s="335"/>
      <c r="I27" s="335"/>
      <c r="J27" s="335"/>
      <c r="K27" s="335"/>
    </row>
    <row r="28" spans="1:11">
      <c r="A28" s="335"/>
      <c r="B28" s="335"/>
      <c r="C28" s="335" t="s">
        <v>329</v>
      </c>
      <c r="D28" s="335"/>
      <c r="E28" s="335"/>
      <c r="F28" s="335"/>
      <c r="G28" s="335"/>
      <c r="H28" s="335"/>
      <c r="I28" s="335"/>
      <c r="J28" s="335"/>
      <c r="K28" s="335"/>
    </row>
    <row r="29" spans="1:11">
      <c r="A29" s="335"/>
      <c r="B29" s="335"/>
      <c r="C29" s="335" t="s">
        <v>330</v>
      </c>
      <c r="D29" s="335"/>
      <c r="E29" s="335"/>
      <c r="F29" s="335"/>
      <c r="G29" s="335"/>
      <c r="H29" s="335"/>
      <c r="I29" s="335"/>
      <c r="J29" s="335"/>
      <c r="K29" s="335"/>
    </row>
    <row r="30" spans="1:11">
      <c r="A30" s="335"/>
      <c r="B30" s="335"/>
      <c r="C30" s="335" t="s">
        <v>331</v>
      </c>
      <c r="D30" s="335"/>
      <c r="E30" s="335"/>
      <c r="F30" s="335"/>
      <c r="G30" s="335"/>
      <c r="H30" s="335"/>
      <c r="I30" s="335"/>
      <c r="J30" s="335"/>
      <c r="K30" s="335"/>
    </row>
    <row r="31" spans="1:11">
      <c r="A31" s="335"/>
      <c r="B31" s="335"/>
      <c r="C31" s="335" t="s">
        <v>332</v>
      </c>
      <c r="D31" s="335"/>
      <c r="E31" s="335"/>
      <c r="F31" s="335"/>
      <c r="G31" s="335"/>
      <c r="H31" s="335"/>
      <c r="I31" s="335"/>
      <c r="J31" s="335"/>
      <c r="K31" s="335"/>
    </row>
    <row r="32" spans="1:11">
      <c r="A32" s="335"/>
      <c r="B32" s="335"/>
      <c r="C32" s="335" t="s">
        <v>333</v>
      </c>
      <c r="D32" s="335"/>
      <c r="E32" s="335"/>
      <c r="F32" s="335"/>
      <c r="G32" s="335"/>
      <c r="H32" s="335"/>
      <c r="I32" s="335"/>
      <c r="J32" s="335"/>
      <c r="K32" s="335"/>
    </row>
    <row r="33" spans="1:11">
      <c r="A33" s="335"/>
      <c r="B33" s="335"/>
      <c r="C33" s="335" t="s">
        <v>334</v>
      </c>
      <c r="D33" s="335"/>
      <c r="E33" s="335"/>
      <c r="F33" s="335"/>
      <c r="G33" s="335"/>
      <c r="H33" s="335"/>
      <c r="I33" s="335"/>
      <c r="J33" s="335"/>
      <c r="K33" s="335"/>
    </row>
    <row r="34" spans="1:11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</row>
    <row r="35" spans="1:11">
      <c r="A35" s="335"/>
      <c r="B35" s="335"/>
      <c r="C35" s="687" t="s">
        <v>335</v>
      </c>
      <c r="D35" s="687"/>
      <c r="E35" s="687"/>
      <c r="F35" s="335"/>
      <c r="G35" s="335"/>
      <c r="H35" s="335"/>
      <c r="I35" s="335"/>
      <c r="J35" s="335"/>
      <c r="K35" s="335"/>
    </row>
    <row r="36" spans="1:11" ht="48">
      <c r="A36" s="343" t="s">
        <v>336</v>
      </c>
      <c r="B36" s="343" t="s">
        <v>337</v>
      </c>
      <c r="C36" s="343" t="s">
        <v>338</v>
      </c>
      <c r="D36" s="343" t="s">
        <v>339</v>
      </c>
      <c r="E36" s="343" t="s">
        <v>340</v>
      </c>
      <c r="F36" s="344" t="s">
        <v>341</v>
      </c>
      <c r="G36" s="344" t="s">
        <v>342</v>
      </c>
      <c r="H36" s="344" t="s">
        <v>343</v>
      </c>
      <c r="I36" s="345" t="s">
        <v>344</v>
      </c>
      <c r="J36" s="335"/>
      <c r="K36" s="335"/>
    </row>
    <row r="37" spans="1:11">
      <c r="A37" s="36">
        <v>1</v>
      </c>
      <c r="B37" s="36" t="s">
        <v>345</v>
      </c>
      <c r="C37" s="346" t="s">
        <v>346</v>
      </c>
      <c r="D37" s="321" t="s">
        <v>347</v>
      </c>
      <c r="E37" s="347">
        <v>3305</v>
      </c>
      <c r="F37" s="347" t="s">
        <v>348</v>
      </c>
      <c r="G37" s="347" t="s">
        <v>349</v>
      </c>
      <c r="H37" s="173">
        <v>3305000000</v>
      </c>
      <c r="I37" s="453">
        <v>0.86660000000000004</v>
      </c>
      <c r="J37" s="335"/>
      <c r="K37" s="335"/>
    </row>
    <row r="38" spans="1:11">
      <c r="A38" s="98">
        <v>2</v>
      </c>
      <c r="B38" s="36" t="s">
        <v>322</v>
      </c>
      <c r="C38" s="346" t="s">
        <v>346</v>
      </c>
      <c r="D38" s="321" t="s">
        <v>350</v>
      </c>
      <c r="E38" s="347">
        <v>200</v>
      </c>
      <c r="F38" s="347" t="s">
        <v>348</v>
      </c>
      <c r="G38" s="347" t="s">
        <v>349</v>
      </c>
      <c r="H38" s="173">
        <v>200000000</v>
      </c>
      <c r="I38" s="453">
        <v>5.2600000000000001E-2</v>
      </c>
      <c r="J38" s="335"/>
      <c r="K38" s="335"/>
    </row>
    <row r="39" spans="1:11">
      <c r="A39" s="36">
        <v>4</v>
      </c>
      <c r="B39" s="36" t="s">
        <v>324</v>
      </c>
      <c r="C39" s="346" t="s">
        <v>346</v>
      </c>
      <c r="D39" s="321" t="s">
        <v>351</v>
      </c>
      <c r="E39" s="347">
        <v>50</v>
      </c>
      <c r="F39" s="347" t="s">
        <v>348</v>
      </c>
      <c r="G39" s="347" t="s">
        <v>349</v>
      </c>
      <c r="H39" s="173">
        <v>50000000</v>
      </c>
      <c r="I39" s="453">
        <v>1.3100000000000001E-2</v>
      </c>
      <c r="J39" s="335"/>
      <c r="K39" s="335"/>
    </row>
    <row r="40" spans="1:11">
      <c r="A40" s="36">
        <v>5</v>
      </c>
      <c r="B40" s="36" t="s">
        <v>352</v>
      </c>
      <c r="C40" s="346" t="s">
        <v>346</v>
      </c>
      <c r="D40" s="321" t="s">
        <v>353</v>
      </c>
      <c r="E40" s="347">
        <v>50</v>
      </c>
      <c r="F40" s="347" t="s">
        <v>348</v>
      </c>
      <c r="G40" s="347" t="s">
        <v>349</v>
      </c>
      <c r="H40" s="173">
        <v>50000000</v>
      </c>
      <c r="I40" s="453">
        <v>1.3100000000000001E-2</v>
      </c>
      <c r="J40" s="335"/>
      <c r="K40" s="335"/>
    </row>
    <row r="41" spans="1:11">
      <c r="A41" s="36">
        <v>6</v>
      </c>
      <c r="B41" s="36" t="s">
        <v>354</v>
      </c>
      <c r="C41" s="346" t="s">
        <v>346</v>
      </c>
      <c r="D41" s="321" t="s">
        <v>355</v>
      </c>
      <c r="E41" s="347">
        <v>50</v>
      </c>
      <c r="F41" s="347" t="s">
        <v>348</v>
      </c>
      <c r="G41" s="347" t="s">
        <v>349</v>
      </c>
      <c r="H41" s="173">
        <v>50000000</v>
      </c>
      <c r="I41" s="453">
        <v>1.3100000000000001E-2</v>
      </c>
      <c r="J41" s="335"/>
      <c r="K41" s="335"/>
    </row>
    <row r="42" spans="1:11">
      <c r="A42" s="36">
        <v>7</v>
      </c>
      <c r="B42" s="36" t="s">
        <v>356</v>
      </c>
      <c r="C42" s="346" t="s">
        <v>346</v>
      </c>
      <c r="D42" s="321" t="s">
        <v>357</v>
      </c>
      <c r="E42" s="347">
        <v>50</v>
      </c>
      <c r="F42" s="347" t="s">
        <v>348</v>
      </c>
      <c r="G42" s="347" t="s">
        <v>349</v>
      </c>
      <c r="H42" s="173">
        <v>50000000</v>
      </c>
      <c r="I42" s="453">
        <v>1.3100000000000001E-2</v>
      </c>
      <c r="J42" s="335"/>
      <c r="K42" s="335"/>
    </row>
    <row r="43" spans="1:11">
      <c r="A43" s="36">
        <v>8</v>
      </c>
      <c r="B43" s="36" t="s">
        <v>358</v>
      </c>
      <c r="C43" s="346" t="s">
        <v>346</v>
      </c>
      <c r="D43" s="321" t="s">
        <v>359</v>
      </c>
      <c r="E43" s="347">
        <v>50</v>
      </c>
      <c r="F43" s="347" t="s">
        <v>348</v>
      </c>
      <c r="G43" s="347" t="s">
        <v>349</v>
      </c>
      <c r="H43" s="173">
        <v>50000000</v>
      </c>
      <c r="I43" s="453">
        <v>1.3100000000000001E-2</v>
      </c>
      <c r="J43" s="335"/>
      <c r="K43" s="335"/>
    </row>
    <row r="44" spans="1:11">
      <c r="A44" s="36">
        <v>9</v>
      </c>
      <c r="B44" s="36" t="s">
        <v>325</v>
      </c>
      <c r="C44" s="346" t="s">
        <v>346</v>
      </c>
      <c r="D44" s="321" t="s">
        <v>360</v>
      </c>
      <c r="E44" s="347">
        <v>50</v>
      </c>
      <c r="F44" s="347" t="s">
        <v>348</v>
      </c>
      <c r="G44" s="347" t="s">
        <v>349</v>
      </c>
      <c r="H44" s="173">
        <v>50000000</v>
      </c>
      <c r="I44" s="453">
        <v>1.3100000000000001E-2</v>
      </c>
      <c r="J44" s="335"/>
      <c r="K44" s="335"/>
    </row>
    <row r="45" spans="1:11">
      <c r="A45" s="335"/>
      <c r="B45" s="335"/>
      <c r="C45" s="335"/>
      <c r="D45" s="335"/>
      <c r="E45" s="335"/>
      <c r="F45" s="335"/>
      <c r="G45" s="335"/>
      <c r="H45" s="677">
        <f>SUM(H37:H44)</f>
        <v>3805000000</v>
      </c>
      <c r="I45" s="335"/>
      <c r="J45" s="335"/>
      <c r="K45" s="335"/>
    </row>
    <row r="46" spans="1:11">
      <c r="A46" s="335"/>
      <c r="B46" s="335"/>
      <c r="C46" s="687" t="s">
        <v>361</v>
      </c>
      <c r="D46" s="687"/>
      <c r="E46" s="687"/>
      <c r="F46" s="335"/>
      <c r="G46" s="335"/>
      <c r="H46" s="335"/>
      <c r="I46" s="335"/>
      <c r="J46" s="335"/>
      <c r="K46" s="335"/>
    </row>
    <row r="47" spans="1:11" ht="26.45" customHeight="1">
      <c r="A47" s="343" t="s">
        <v>336</v>
      </c>
      <c r="B47" s="688" t="s">
        <v>337</v>
      </c>
      <c r="C47" s="689"/>
      <c r="D47" s="343" t="s">
        <v>338</v>
      </c>
      <c r="E47" s="343" t="s">
        <v>339</v>
      </c>
      <c r="F47" s="343" t="s">
        <v>340</v>
      </c>
      <c r="G47" s="344" t="s">
        <v>341</v>
      </c>
      <c r="H47" s="344" t="s">
        <v>342</v>
      </c>
      <c r="I47" s="344" t="s">
        <v>343</v>
      </c>
      <c r="J47" s="345" t="s">
        <v>362</v>
      </c>
      <c r="K47" s="335"/>
    </row>
    <row r="48" spans="1:11">
      <c r="A48" s="36">
        <v>1</v>
      </c>
      <c r="B48" s="690" t="s">
        <v>345</v>
      </c>
      <c r="C48" s="691"/>
      <c r="D48" s="346" t="s">
        <v>346</v>
      </c>
      <c r="E48" s="321" t="s">
        <v>363</v>
      </c>
      <c r="F48" s="347">
        <v>4500</v>
      </c>
      <c r="G48" s="347" t="s">
        <v>348</v>
      </c>
      <c r="H48" s="347" t="s">
        <v>349</v>
      </c>
      <c r="I48" s="173">
        <v>4500000000</v>
      </c>
      <c r="J48" s="348">
        <v>0.9</v>
      </c>
      <c r="K48" s="335"/>
    </row>
    <row r="49" spans="1:11">
      <c r="A49" s="36">
        <v>2</v>
      </c>
      <c r="B49" s="690" t="s">
        <v>322</v>
      </c>
      <c r="C49" s="691"/>
      <c r="D49" s="346" t="s">
        <v>346</v>
      </c>
      <c r="E49" s="321" t="s">
        <v>350</v>
      </c>
      <c r="F49" s="347">
        <v>200</v>
      </c>
      <c r="G49" s="347" t="s">
        <v>348</v>
      </c>
      <c r="H49" s="347" t="s">
        <v>349</v>
      </c>
      <c r="I49" s="173">
        <v>200000000</v>
      </c>
      <c r="J49" s="348">
        <v>0.04</v>
      </c>
      <c r="K49" s="335"/>
    </row>
    <row r="50" spans="1:11">
      <c r="A50" s="36">
        <v>3</v>
      </c>
      <c r="B50" s="690" t="s">
        <v>324</v>
      </c>
      <c r="C50" s="691"/>
      <c r="D50" s="346" t="s">
        <v>346</v>
      </c>
      <c r="E50" s="321" t="s">
        <v>351</v>
      </c>
      <c r="F50" s="347">
        <v>50</v>
      </c>
      <c r="G50" s="347" t="s">
        <v>348</v>
      </c>
      <c r="H50" s="347" t="s">
        <v>349</v>
      </c>
      <c r="I50" s="173">
        <v>50000000</v>
      </c>
      <c r="J50" s="348">
        <v>0.01</v>
      </c>
      <c r="K50" s="335"/>
    </row>
    <row r="51" spans="1:11">
      <c r="A51" s="36">
        <v>4</v>
      </c>
      <c r="B51" s="690" t="s">
        <v>352</v>
      </c>
      <c r="C51" s="691"/>
      <c r="D51" s="346" t="s">
        <v>346</v>
      </c>
      <c r="E51" s="321" t="s">
        <v>353</v>
      </c>
      <c r="F51" s="347">
        <v>50</v>
      </c>
      <c r="G51" s="347" t="s">
        <v>348</v>
      </c>
      <c r="H51" s="347" t="s">
        <v>349</v>
      </c>
      <c r="I51" s="173">
        <v>50000000</v>
      </c>
      <c r="J51" s="348">
        <v>0.01</v>
      </c>
      <c r="K51" s="335"/>
    </row>
    <row r="52" spans="1:11">
      <c r="A52" s="36">
        <v>5</v>
      </c>
      <c r="B52" s="690" t="s">
        <v>354</v>
      </c>
      <c r="C52" s="691"/>
      <c r="D52" s="346" t="s">
        <v>346</v>
      </c>
      <c r="E52" s="321" t="s">
        <v>355</v>
      </c>
      <c r="F52" s="347">
        <v>50</v>
      </c>
      <c r="G52" s="347" t="s">
        <v>348</v>
      </c>
      <c r="H52" s="347" t="s">
        <v>349</v>
      </c>
      <c r="I52" s="173">
        <v>50000000</v>
      </c>
      <c r="J52" s="348">
        <v>0.01</v>
      </c>
      <c r="K52" s="335"/>
    </row>
    <row r="53" spans="1:11">
      <c r="A53" s="36">
        <v>6</v>
      </c>
      <c r="B53" s="690" t="s">
        <v>356</v>
      </c>
      <c r="C53" s="691"/>
      <c r="D53" s="346" t="s">
        <v>346</v>
      </c>
      <c r="E53" s="321" t="s">
        <v>357</v>
      </c>
      <c r="F53" s="347">
        <v>50</v>
      </c>
      <c r="G53" s="347" t="s">
        <v>348</v>
      </c>
      <c r="H53" s="347" t="s">
        <v>349</v>
      </c>
      <c r="I53" s="173">
        <v>50000000</v>
      </c>
      <c r="J53" s="348">
        <v>0.01</v>
      </c>
      <c r="K53" s="335"/>
    </row>
    <row r="54" spans="1:11">
      <c r="A54" s="36">
        <v>7</v>
      </c>
      <c r="B54" s="690" t="s">
        <v>358</v>
      </c>
      <c r="C54" s="691"/>
      <c r="D54" s="346" t="s">
        <v>346</v>
      </c>
      <c r="E54" s="321" t="s">
        <v>359</v>
      </c>
      <c r="F54" s="347">
        <v>50</v>
      </c>
      <c r="G54" s="347" t="s">
        <v>348</v>
      </c>
      <c r="H54" s="347" t="s">
        <v>349</v>
      </c>
      <c r="I54" s="173">
        <v>50000000</v>
      </c>
      <c r="J54" s="348">
        <v>0.01</v>
      </c>
      <c r="K54" s="335"/>
    </row>
    <row r="55" spans="1:11">
      <c r="A55" s="36">
        <v>8</v>
      </c>
      <c r="B55" s="686" t="s">
        <v>325</v>
      </c>
      <c r="C55" s="686"/>
      <c r="D55" s="346" t="s">
        <v>346</v>
      </c>
      <c r="E55" s="321" t="s">
        <v>360</v>
      </c>
      <c r="F55" s="347">
        <v>50</v>
      </c>
      <c r="G55" s="347" t="s">
        <v>348</v>
      </c>
      <c r="H55" s="347" t="s">
        <v>349</v>
      </c>
      <c r="I55" s="173">
        <v>50000000</v>
      </c>
      <c r="J55" s="348">
        <v>0.01</v>
      </c>
      <c r="K55" s="335"/>
    </row>
    <row r="56" spans="1:11">
      <c r="A56" s="335"/>
      <c r="B56" s="335"/>
      <c r="C56" s="335"/>
      <c r="D56" s="335"/>
      <c r="E56" s="335"/>
      <c r="F56" s="335"/>
      <c r="G56" s="335"/>
      <c r="H56" s="335"/>
      <c r="I56" s="652">
        <f>SUM(I48:I55)</f>
        <v>5000000000</v>
      </c>
      <c r="J56" s="335"/>
      <c r="K56" s="335"/>
    </row>
    <row r="57" spans="1:11">
      <c r="A57" s="335"/>
      <c r="B57" s="341" t="s">
        <v>364</v>
      </c>
      <c r="C57" s="335"/>
      <c r="D57" s="335"/>
      <c r="E57" s="335"/>
      <c r="F57" s="335"/>
      <c r="G57" s="335"/>
      <c r="H57" s="335"/>
      <c r="I57" s="335"/>
      <c r="J57" s="335"/>
      <c r="K57" s="335"/>
    </row>
    <row r="58" spans="1:11">
      <c r="A58" s="335"/>
      <c r="B58" s="335"/>
      <c r="C58" s="335" t="s">
        <v>365</v>
      </c>
      <c r="D58" s="335"/>
      <c r="E58" s="335"/>
      <c r="F58" s="335"/>
      <c r="G58" s="335"/>
      <c r="H58" s="335"/>
      <c r="I58" s="335"/>
      <c r="J58" s="335"/>
      <c r="K58" s="335"/>
    </row>
    <row r="59" spans="1:11">
      <c r="A59" s="335"/>
      <c r="B59" s="335"/>
      <c r="C59" s="335" t="s">
        <v>366</v>
      </c>
      <c r="D59" s="335"/>
      <c r="E59" s="335"/>
      <c r="F59" s="335"/>
      <c r="G59" s="335"/>
      <c r="H59" s="335"/>
      <c r="I59" s="335"/>
      <c r="J59" s="335"/>
      <c r="K59" s="335"/>
    </row>
    <row r="60" spans="1:11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>
      <c r="A61" s="335"/>
      <c r="B61" s="341" t="s">
        <v>367</v>
      </c>
      <c r="C61" s="335"/>
      <c r="D61" s="335"/>
      <c r="E61" s="335"/>
      <c r="F61" s="335"/>
      <c r="G61" s="335"/>
      <c r="H61" s="335"/>
      <c r="I61" s="335"/>
      <c r="J61" s="335"/>
      <c r="K61" s="335"/>
    </row>
    <row r="62" spans="1:11">
      <c r="A62" s="335"/>
      <c r="B62" s="335" t="s">
        <v>368</v>
      </c>
      <c r="C62" s="335"/>
      <c r="D62" s="335"/>
      <c r="E62" s="335"/>
      <c r="F62" s="335"/>
      <c r="G62" s="335"/>
      <c r="H62" s="335"/>
      <c r="I62" s="335"/>
      <c r="J62" s="335"/>
      <c r="K62" s="335"/>
    </row>
    <row r="63" spans="1:11">
      <c r="A63" s="335"/>
      <c r="B63" s="335"/>
      <c r="C63" s="335" t="s">
        <v>321</v>
      </c>
      <c r="D63" s="349" t="s">
        <v>322</v>
      </c>
      <c r="E63" s="349"/>
      <c r="F63" s="349"/>
      <c r="G63" s="335"/>
      <c r="H63" s="335"/>
      <c r="I63" s="335"/>
      <c r="J63" s="335"/>
      <c r="K63" s="335"/>
    </row>
    <row r="64" spans="1:11">
      <c r="A64" s="335"/>
      <c r="B64" s="335"/>
      <c r="C64" s="335" t="s">
        <v>323</v>
      </c>
      <c r="D64" s="349" t="s">
        <v>324</v>
      </c>
      <c r="E64" s="349"/>
      <c r="F64" s="349"/>
      <c r="G64" s="335"/>
      <c r="H64" s="335"/>
      <c r="I64" s="335"/>
      <c r="J64" s="335"/>
      <c r="K64" s="335"/>
    </row>
    <row r="65" spans="1:11">
      <c r="A65" s="335"/>
      <c r="B65" s="335"/>
      <c r="C65" s="335" t="s">
        <v>323</v>
      </c>
      <c r="D65" s="349" t="s">
        <v>325</v>
      </c>
      <c r="E65" s="349"/>
      <c r="F65" s="349"/>
      <c r="G65" s="335"/>
      <c r="H65" s="335"/>
      <c r="I65" s="335"/>
      <c r="J65" s="335"/>
      <c r="K65" s="335"/>
    </row>
    <row r="66" spans="1:11">
      <c r="A66" s="335"/>
      <c r="B66" s="335"/>
      <c r="C66" s="335" t="s">
        <v>369</v>
      </c>
      <c r="D66" s="349" t="s">
        <v>327</v>
      </c>
      <c r="E66" s="349"/>
      <c r="F66" s="349"/>
      <c r="G66" s="335"/>
      <c r="H66" s="335"/>
      <c r="I66" s="335"/>
      <c r="J66" s="335"/>
      <c r="K66" s="335"/>
    </row>
    <row r="67" spans="1:11">
      <c r="A67" s="335"/>
      <c r="B67" s="335"/>
      <c r="C67" s="335" t="s">
        <v>370</v>
      </c>
      <c r="D67" s="349" t="s">
        <v>371</v>
      </c>
      <c r="E67" s="349"/>
      <c r="F67" s="349"/>
      <c r="G67" s="335"/>
      <c r="H67" s="335"/>
      <c r="I67" s="335"/>
      <c r="J67" s="335"/>
      <c r="K67" s="335"/>
    </row>
    <row r="68" spans="1:11">
      <c r="A68" s="335"/>
      <c r="B68" s="335"/>
      <c r="E68" s="349"/>
      <c r="F68" s="349"/>
      <c r="G68" s="335"/>
      <c r="H68" s="335"/>
      <c r="I68" s="335"/>
      <c r="J68" s="335"/>
      <c r="K68" s="335"/>
    </row>
    <row r="69" spans="1:11">
      <c r="A69" s="335"/>
      <c r="B69" s="335"/>
      <c r="C69" s="335"/>
      <c r="D69" s="335"/>
      <c r="E69" s="335"/>
      <c r="F69" s="335"/>
      <c r="G69" s="335"/>
      <c r="H69" s="335"/>
      <c r="I69" s="335"/>
      <c r="J69" s="335"/>
      <c r="K69" s="335"/>
    </row>
    <row r="70" spans="1:11">
      <c r="A70" s="335"/>
      <c r="B70" s="335" t="s">
        <v>372</v>
      </c>
      <c r="C70" s="335"/>
      <c r="D70" s="335"/>
      <c r="E70" s="335"/>
      <c r="F70" s="335"/>
      <c r="G70" s="335"/>
      <c r="H70" s="335"/>
      <c r="I70" s="335"/>
      <c r="J70" s="335"/>
      <c r="K70" s="335"/>
    </row>
    <row r="71" spans="1:11">
      <c r="A71" s="335"/>
      <c r="B71" s="335"/>
      <c r="C71" s="335" t="s">
        <v>373</v>
      </c>
      <c r="D71" s="335" t="s">
        <v>345</v>
      </c>
      <c r="E71" s="335"/>
      <c r="F71" s="335"/>
      <c r="G71" s="335"/>
      <c r="H71" s="335"/>
      <c r="I71" s="335"/>
      <c r="J71" s="335"/>
      <c r="K71" s="335"/>
    </row>
    <row r="72" spans="1:11">
      <c r="A72" s="335"/>
      <c r="B72" s="335"/>
      <c r="C72" s="335" t="s">
        <v>374</v>
      </c>
      <c r="D72" s="335" t="s">
        <v>375</v>
      </c>
      <c r="E72" s="335"/>
      <c r="F72" s="335"/>
      <c r="G72" s="335"/>
      <c r="H72" s="335"/>
      <c r="I72" s="335"/>
      <c r="J72" s="335"/>
      <c r="K72" s="335"/>
    </row>
    <row r="73" spans="1:11">
      <c r="A73" s="335"/>
      <c r="B73" s="335"/>
      <c r="C73" s="335" t="s">
        <v>376</v>
      </c>
      <c r="D73" s="335" t="s">
        <v>377</v>
      </c>
      <c r="E73" s="335"/>
      <c r="F73" s="335"/>
      <c r="G73" s="335"/>
      <c r="H73" s="335"/>
      <c r="I73" s="335"/>
      <c r="J73" s="335"/>
      <c r="K73" s="335"/>
    </row>
    <row r="74" spans="1:11">
      <c r="A74" s="335"/>
      <c r="B74" s="335"/>
      <c r="C74" s="335" t="s">
        <v>378</v>
      </c>
      <c r="D74" s="350">
        <v>0.9</v>
      </c>
      <c r="E74" s="335"/>
      <c r="F74" s="335"/>
      <c r="G74" s="335"/>
      <c r="H74" s="335"/>
      <c r="I74" s="335"/>
      <c r="J74" s="335"/>
      <c r="K74" s="335"/>
    </row>
    <row r="75" spans="1:11">
      <c r="A75" s="335"/>
      <c r="B75" s="335"/>
      <c r="C75" s="335" t="s">
        <v>379</v>
      </c>
      <c r="D75" s="350">
        <v>0.9</v>
      </c>
      <c r="E75" s="335"/>
      <c r="F75" s="335"/>
      <c r="G75" s="335"/>
      <c r="H75" s="335"/>
      <c r="I75" s="335"/>
      <c r="J75" s="335"/>
      <c r="K75" s="335"/>
    </row>
    <row r="76" spans="1:11">
      <c r="A76" s="335"/>
      <c r="B76" s="335"/>
      <c r="C76" s="335"/>
      <c r="D76" s="335"/>
      <c r="E76" s="335"/>
      <c r="F76" s="335"/>
      <c r="G76" s="335"/>
      <c r="H76" s="335"/>
      <c r="I76" s="335"/>
      <c r="J76" s="335"/>
      <c r="K76" s="335"/>
    </row>
    <row r="77" spans="1:11">
      <c r="A77" s="335"/>
      <c r="B77" s="335"/>
      <c r="C77" s="335"/>
      <c r="D77" s="335"/>
      <c r="E77" s="335"/>
      <c r="F77" s="335"/>
      <c r="G77" s="335"/>
      <c r="H77" s="335"/>
      <c r="I77" s="335"/>
      <c r="J77" s="335"/>
      <c r="K77" s="335"/>
    </row>
    <row r="78" spans="1:11">
      <c r="A78" s="335"/>
      <c r="B78" s="335"/>
      <c r="C78" s="335"/>
      <c r="D78" s="335"/>
      <c r="E78" s="335"/>
      <c r="F78" s="335"/>
      <c r="G78" s="335"/>
      <c r="H78" s="335"/>
      <c r="I78" s="335"/>
      <c r="J78" s="335"/>
      <c r="K78" s="335"/>
    </row>
    <row r="79" spans="1:11">
      <c r="A79" s="335"/>
      <c r="B79" s="335"/>
      <c r="C79" s="335"/>
      <c r="D79" s="335"/>
      <c r="E79" s="335"/>
      <c r="F79" s="335"/>
      <c r="G79" s="335"/>
      <c r="H79" s="335"/>
      <c r="I79" s="335"/>
      <c r="J79" s="335"/>
      <c r="K79" s="335"/>
    </row>
    <row r="80" spans="1:11">
      <c r="A80" s="335"/>
      <c r="B80" s="335"/>
      <c r="C80" s="335"/>
      <c r="D80" s="335"/>
      <c r="E80" s="335"/>
      <c r="F80" s="335"/>
      <c r="G80" s="335"/>
      <c r="H80" s="335"/>
      <c r="I80" s="335"/>
      <c r="J80" s="335"/>
      <c r="K80" s="335"/>
    </row>
    <row r="81" spans="1:11">
      <c r="A81" s="335"/>
      <c r="B81" s="335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>
      <c r="A82" s="335"/>
      <c r="B82" s="335"/>
      <c r="C82" s="335"/>
      <c r="D82" s="335"/>
      <c r="E82" s="335"/>
      <c r="F82" s="335"/>
      <c r="G82" s="335"/>
      <c r="H82" s="335"/>
      <c r="I82" s="335"/>
      <c r="J82" s="335"/>
      <c r="K82" s="335"/>
    </row>
    <row r="83" spans="1:11">
      <c r="A83" s="335"/>
      <c r="B83" s="335"/>
      <c r="C83" s="335"/>
      <c r="D83" s="335"/>
      <c r="E83" s="335"/>
      <c r="F83" s="335"/>
      <c r="G83" s="335"/>
      <c r="H83" s="335"/>
      <c r="I83" s="335"/>
      <c r="J83" s="335"/>
      <c r="K83" s="335"/>
    </row>
    <row r="84" spans="1:11">
      <c r="A84" s="335"/>
      <c r="B84" s="335"/>
      <c r="C84" s="335"/>
      <c r="D84" s="335"/>
      <c r="E84" s="335"/>
      <c r="F84" s="335"/>
      <c r="G84" s="335"/>
      <c r="H84" s="335"/>
      <c r="I84" s="335"/>
      <c r="J84" s="335"/>
      <c r="K84" s="335"/>
    </row>
    <row r="85" spans="1:11">
      <c r="A85" s="335"/>
      <c r="B85" s="335"/>
      <c r="C85" s="335"/>
      <c r="D85" s="335"/>
      <c r="E85" s="335"/>
      <c r="F85" s="335"/>
      <c r="G85" s="335"/>
      <c r="H85" s="335"/>
      <c r="I85" s="335"/>
      <c r="J85" s="335"/>
      <c r="K85" s="335"/>
    </row>
    <row r="86" spans="1:11">
      <c r="A86" s="335"/>
      <c r="B86" s="335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>
      <c r="A87" s="335"/>
      <c r="B87" s="335"/>
      <c r="C87" s="335"/>
      <c r="D87" s="335"/>
      <c r="E87" s="335"/>
      <c r="F87" s="335"/>
      <c r="G87" s="335"/>
      <c r="H87" s="335"/>
      <c r="I87" s="335"/>
      <c r="J87" s="335"/>
      <c r="K87" s="335"/>
    </row>
    <row r="88" spans="1:11">
      <c r="A88" s="335"/>
      <c r="B88" s="335"/>
      <c r="C88" s="335"/>
      <c r="D88" s="335"/>
      <c r="E88" s="335"/>
      <c r="F88" s="335"/>
      <c r="G88" s="335"/>
      <c r="H88" s="335"/>
      <c r="I88" s="335"/>
      <c r="J88" s="335"/>
      <c r="K88" s="335"/>
    </row>
    <row r="89" spans="1:11">
      <c r="A89" s="335"/>
      <c r="B89" s="335"/>
      <c r="C89" s="335"/>
      <c r="D89" s="335"/>
      <c r="E89" s="335"/>
      <c r="F89" s="335"/>
      <c r="G89" s="335"/>
      <c r="H89" s="335"/>
      <c r="I89" s="335"/>
      <c r="J89" s="335"/>
      <c r="K89" s="335"/>
    </row>
    <row r="90" spans="1:11">
      <c r="A90" s="335"/>
      <c r="B90" s="335"/>
      <c r="C90" s="335"/>
      <c r="D90" s="335"/>
      <c r="E90" s="335"/>
      <c r="F90" s="335"/>
      <c r="G90" s="335"/>
      <c r="H90" s="335"/>
      <c r="I90" s="335"/>
      <c r="J90" s="335"/>
      <c r="K90" s="335"/>
    </row>
    <row r="91" spans="1:11">
      <c r="A91" s="335"/>
      <c r="B91" s="335"/>
      <c r="C91" s="335"/>
      <c r="D91" s="335"/>
      <c r="E91" s="335"/>
      <c r="F91" s="335"/>
      <c r="G91" s="335"/>
      <c r="H91" s="335"/>
      <c r="I91" s="335"/>
      <c r="J91" s="335"/>
      <c r="K91" s="335"/>
    </row>
    <row r="92" spans="1:11">
      <c r="A92" s="335"/>
      <c r="B92" s="335"/>
      <c r="C92" s="335"/>
      <c r="D92" s="335"/>
      <c r="E92" s="335"/>
      <c r="F92" s="335"/>
      <c r="G92" s="335"/>
      <c r="H92" s="335"/>
      <c r="I92" s="335"/>
      <c r="J92" s="335"/>
      <c r="K92" s="335"/>
    </row>
    <row r="93" spans="1:11">
      <c r="A93" s="335"/>
      <c r="B93" s="335"/>
      <c r="C93" s="335"/>
      <c r="D93" s="335"/>
      <c r="E93" s="335"/>
      <c r="F93" s="335"/>
      <c r="G93" s="335"/>
      <c r="H93" s="335"/>
      <c r="I93" s="335"/>
      <c r="J93" s="335"/>
      <c r="K93" s="335"/>
    </row>
    <row r="94" spans="1:11">
      <c r="A94" s="335"/>
      <c r="B94" s="335"/>
      <c r="C94" s="335"/>
      <c r="D94" s="335"/>
      <c r="E94" s="335"/>
      <c r="F94" s="335"/>
      <c r="G94" s="335"/>
      <c r="H94" s="335"/>
      <c r="I94" s="335"/>
      <c r="J94" s="335"/>
      <c r="K94" s="335"/>
    </row>
    <row r="95" spans="1:11">
      <c r="A95" s="335"/>
      <c r="B95" s="335"/>
      <c r="C95" s="335"/>
      <c r="D95" s="335"/>
      <c r="E95" s="335"/>
      <c r="F95" s="335"/>
      <c r="G95" s="335"/>
      <c r="H95" s="335"/>
      <c r="I95" s="335"/>
      <c r="J95" s="335"/>
      <c r="K95" s="335"/>
    </row>
    <row r="96" spans="1:11">
      <c r="A96" s="335"/>
      <c r="B96" s="335"/>
      <c r="C96" s="335"/>
      <c r="D96" s="335"/>
      <c r="E96" s="335"/>
      <c r="F96" s="335"/>
      <c r="G96" s="335"/>
      <c r="H96" s="335"/>
      <c r="I96" s="335"/>
      <c r="J96" s="335"/>
      <c r="K96" s="335"/>
    </row>
    <row r="97" spans="1:11">
      <c r="A97" s="335"/>
      <c r="B97" s="335"/>
      <c r="C97" s="335"/>
      <c r="D97" s="335"/>
      <c r="E97" s="335"/>
      <c r="F97" s="335"/>
      <c r="G97" s="335"/>
      <c r="H97" s="335"/>
      <c r="I97" s="335"/>
      <c r="J97" s="335"/>
      <c r="K97" s="335"/>
    </row>
    <row r="98" spans="1:11">
      <c r="A98" s="335"/>
      <c r="B98" s="335"/>
      <c r="C98" s="335"/>
      <c r="D98" s="335"/>
      <c r="E98" s="335"/>
      <c r="F98" s="335"/>
      <c r="G98" s="335"/>
      <c r="H98" s="335"/>
      <c r="I98" s="335"/>
      <c r="J98" s="335"/>
      <c r="K98" s="335"/>
    </row>
    <row r="99" spans="1:11">
      <c r="A99" s="335"/>
      <c r="B99" s="335"/>
      <c r="C99" s="335"/>
      <c r="D99" s="335"/>
      <c r="E99" s="335"/>
      <c r="F99" s="335"/>
      <c r="G99" s="335"/>
      <c r="H99" s="335"/>
      <c r="I99" s="335"/>
      <c r="J99" s="335"/>
      <c r="K99" s="335"/>
    </row>
    <row r="100" spans="1:11">
      <c r="A100" s="335"/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</row>
    <row r="101" spans="1:11">
      <c r="A101" s="335"/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</row>
    <row r="102" spans="1:11">
      <c r="A102" s="335"/>
      <c r="B102" s="335"/>
      <c r="C102" s="335"/>
      <c r="D102" s="335"/>
      <c r="E102" s="335"/>
      <c r="F102" s="335"/>
      <c r="G102" s="335"/>
      <c r="H102" s="335"/>
      <c r="I102" s="335"/>
      <c r="J102" s="335"/>
      <c r="K102" s="335"/>
    </row>
    <row r="103" spans="1:11">
      <c r="A103" s="335"/>
      <c r="B103" s="335"/>
      <c r="C103" s="335"/>
      <c r="D103" s="335"/>
      <c r="E103" s="335"/>
      <c r="F103" s="335"/>
      <c r="G103" s="335"/>
      <c r="H103" s="335"/>
      <c r="I103" s="335"/>
      <c r="J103" s="335"/>
      <c r="K103" s="335"/>
    </row>
    <row r="104" spans="1:11">
      <c r="A104" s="335"/>
      <c r="B104" s="335"/>
      <c r="C104" s="335"/>
      <c r="D104" s="335"/>
      <c r="E104" s="335"/>
      <c r="F104" s="335"/>
      <c r="G104" s="335"/>
      <c r="H104" s="335"/>
      <c r="I104" s="335"/>
      <c r="J104" s="335"/>
      <c r="K104" s="335"/>
    </row>
    <row r="105" spans="1:11">
      <c r="A105" s="335"/>
      <c r="B105" s="335"/>
      <c r="C105" s="335"/>
      <c r="D105" s="335"/>
      <c r="E105" s="335"/>
      <c r="F105" s="335"/>
      <c r="G105" s="335"/>
      <c r="H105" s="335"/>
      <c r="I105" s="335"/>
      <c r="J105" s="335"/>
      <c r="K105" s="335"/>
    </row>
    <row r="106" spans="1:11">
      <c r="A106" s="335"/>
      <c r="B106" s="335"/>
      <c r="C106" s="335"/>
      <c r="D106" s="335"/>
      <c r="E106" s="335"/>
      <c r="F106" s="335"/>
      <c r="G106" s="335"/>
      <c r="H106" s="335"/>
      <c r="I106" s="335"/>
      <c r="J106" s="335"/>
      <c r="K106" s="335"/>
    </row>
    <row r="107" spans="1:11">
      <c r="I107" s="351"/>
    </row>
    <row r="108" spans="1:11">
      <c r="I108" s="351"/>
    </row>
    <row r="109" spans="1:11">
      <c r="I109" s="351"/>
    </row>
    <row r="110" spans="1:11">
      <c r="I110" s="351"/>
    </row>
    <row r="111" spans="1:11">
      <c r="I111" s="351"/>
    </row>
    <row r="112" spans="1:11">
      <c r="I112" s="351"/>
    </row>
    <row r="113" spans="9:9">
      <c r="I113" s="351"/>
    </row>
    <row r="114" spans="9:9">
      <c r="I114" s="351"/>
    </row>
    <row r="115" spans="9:9">
      <c r="I115" s="351"/>
    </row>
    <row r="116" spans="9:9">
      <c r="I116" s="351"/>
    </row>
    <row r="117" spans="9:9">
      <c r="I117" s="351"/>
    </row>
    <row r="118" spans="9:9">
      <c r="I118" s="351"/>
    </row>
    <row r="119" spans="9:9">
      <c r="I119" s="351"/>
    </row>
    <row r="120" spans="9:9">
      <c r="I120" s="351"/>
    </row>
    <row r="121" spans="9:9">
      <c r="I121" s="351"/>
    </row>
    <row r="122" spans="9:9">
      <c r="I122" s="351"/>
    </row>
    <row r="123" spans="9:9">
      <c r="I123" s="351"/>
    </row>
    <row r="124" spans="9:9">
      <c r="I124" s="351"/>
    </row>
    <row r="125" spans="9:9">
      <c r="I125" s="351"/>
    </row>
    <row r="126" spans="9:9">
      <c r="I126" s="351"/>
    </row>
    <row r="127" spans="9:9">
      <c r="I127" s="351"/>
    </row>
    <row r="128" spans="9:9">
      <c r="I128" s="351"/>
    </row>
    <row r="129" spans="1:9">
      <c r="I129" s="351"/>
    </row>
    <row r="130" spans="1:9">
      <c r="I130" s="351"/>
    </row>
    <row r="131" spans="1:9">
      <c r="I131" s="351"/>
    </row>
    <row r="132" spans="1:9">
      <c r="I132" s="351"/>
    </row>
    <row r="133" spans="1:9">
      <c r="I133" s="351"/>
    </row>
    <row r="134" spans="1:9">
      <c r="I134" s="351"/>
    </row>
    <row r="135" spans="1:9">
      <c r="I135" s="351"/>
    </row>
    <row r="136" spans="1:9">
      <c r="I136" s="351"/>
    </row>
    <row r="137" spans="1:9" s="155" customFormat="1">
      <c r="A137" s="375"/>
      <c r="B137" s="375"/>
      <c r="C137" s="375"/>
      <c r="D137" s="375"/>
      <c r="E137" s="375"/>
      <c r="I137" s="352"/>
    </row>
    <row r="138" spans="1:9">
      <c r="I138" s="351"/>
    </row>
    <row r="139" spans="1:9">
      <c r="I139" s="351"/>
    </row>
    <row r="140" spans="1:9">
      <c r="A140" s="375"/>
      <c r="I140" s="351"/>
    </row>
    <row r="141" spans="1:9">
      <c r="A141" s="377"/>
      <c r="B141" s="377"/>
      <c r="C141" s="377"/>
      <c r="D141" s="377"/>
      <c r="E141" s="377"/>
      <c r="F141" s="376"/>
      <c r="G141" s="376"/>
      <c r="H141" s="376"/>
      <c r="I141" s="351"/>
    </row>
    <row r="142" spans="1:9">
      <c r="G142" s="351"/>
      <c r="I142" s="351"/>
    </row>
    <row r="143" spans="1:9">
      <c r="G143" s="351"/>
      <c r="I143" s="351"/>
    </row>
    <row r="144" spans="1:9">
      <c r="G144" s="351"/>
      <c r="I144" s="351"/>
    </row>
    <row r="145" spans="1:9">
      <c r="G145" s="351"/>
      <c r="I145" s="351"/>
    </row>
    <row r="146" spans="1:9">
      <c r="G146" s="351"/>
      <c r="I146" s="351"/>
    </row>
    <row r="147" spans="1:9" s="155" customFormat="1">
      <c r="A147" s="375"/>
      <c r="B147" s="375"/>
      <c r="C147" s="375"/>
      <c r="D147" s="375"/>
      <c r="E147" s="375"/>
      <c r="G147" s="352"/>
      <c r="I147" s="352"/>
    </row>
    <row r="148" spans="1:9">
      <c r="I148" s="351"/>
    </row>
    <row r="149" spans="1:9">
      <c r="I149" s="351"/>
    </row>
    <row r="150" spans="1:9">
      <c r="I150" s="351"/>
    </row>
    <row r="151" spans="1:9">
      <c r="I151" s="351"/>
    </row>
    <row r="152" spans="1:9">
      <c r="I152" s="351"/>
    </row>
    <row r="153" spans="1:9">
      <c r="I153" s="351"/>
    </row>
    <row r="154" spans="1:9">
      <c r="I154" s="351"/>
    </row>
    <row r="155" spans="1:9">
      <c r="I155" s="351"/>
    </row>
    <row r="156" spans="1:9">
      <c r="I156" s="351"/>
    </row>
    <row r="157" spans="1:9">
      <c r="I157" s="351"/>
    </row>
    <row r="158" spans="1:9">
      <c r="I158" s="351"/>
    </row>
    <row r="159" spans="1:9">
      <c r="I159" s="351"/>
    </row>
    <row r="160" spans="1:9">
      <c r="I160" s="351"/>
    </row>
    <row r="161" spans="9:9">
      <c r="I161" s="351"/>
    </row>
    <row r="162" spans="9:9">
      <c r="I162" s="351"/>
    </row>
    <row r="163" spans="9:9">
      <c r="I163" s="351"/>
    </row>
    <row r="164" spans="9:9">
      <c r="I164" s="351"/>
    </row>
    <row r="165" spans="9:9">
      <c r="I165" s="351"/>
    </row>
    <row r="166" spans="9:9">
      <c r="I166" s="351"/>
    </row>
    <row r="167" spans="9:9">
      <c r="I167" s="351"/>
    </row>
    <row r="168" spans="9:9">
      <c r="I168" s="351"/>
    </row>
    <row r="169" spans="9:9">
      <c r="I169" s="351"/>
    </row>
    <row r="170" spans="9:9">
      <c r="I170" s="351"/>
    </row>
    <row r="171" spans="9:9">
      <c r="I171" s="351"/>
    </row>
    <row r="172" spans="9:9">
      <c r="I172" s="351"/>
    </row>
    <row r="173" spans="9:9">
      <c r="I173" s="351"/>
    </row>
    <row r="174" spans="9:9">
      <c r="I174" s="351"/>
    </row>
    <row r="175" spans="9:9">
      <c r="I175" s="351"/>
    </row>
    <row r="176" spans="9:9">
      <c r="I176" s="351"/>
    </row>
    <row r="177" spans="9:9">
      <c r="I177" s="351"/>
    </row>
    <row r="178" spans="9:9">
      <c r="I178" s="351"/>
    </row>
    <row r="179" spans="9:9">
      <c r="I179" s="351"/>
    </row>
    <row r="180" spans="9:9">
      <c r="I180" s="351"/>
    </row>
    <row r="181" spans="9:9">
      <c r="I181" s="351"/>
    </row>
    <row r="182" spans="9:9">
      <c r="I182" s="351"/>
    </row>
    <row r="183" spans="9:9">
      <c r="I183" s="351"/>
    </row>
    <row r="184" spans="9:9">
      <c r="I184" s="351"/>
    </row>
    <row r="185" spans="9:9">
      <c r="I185" s="351"/>
    </row>
    <row r="186" spans="9:9">
      <c r="I186" s="351"/>
    </row>
    <row r="187" spans="9:9">
      <c r="I187" s="351"/>
    </row>
    <row r="188" spans="9:9">
      <c r="I188" s="351"/>
    </row>
    <row r="189" spans="9:9">
      <c r="I189" s="351"/>
    </row>
    <row r="190" spans="9:9">
      <c r="I190" s="351"/>
    </row>
    <row r="191" spans="9:9">
      <c r="I191" s="351"/>
    </row>
    <row r="192" spans="9:9">
      <c r="I192" s="351"/>
    </row>
    <row r="193" spans="9:9">
      <c r="I193" s="351"/>
    </row>
    <row r="194" spans="9:9">
      <c r="I194" s="351"/>
    </row>
    <row r="195" spans="9:9">
      <c r="I195" s="351"/>
    </row>
    <row r="196" spans="9:9">
      <c r="I196" s="351"/>
    </row>
    <row r="197" spans="9:9">
      <c r="I197" s="351"/>
    </row>
    <row r="198" spans="9:9">
      <c r="I198" s="351"/>
    </row>
    <row r="199" spans="9:9">
      <c r="I199" s="351"/>
    </row>
    <row r="200" spans="9:9">
      <c r="I200" s="351"/>
    </row>
    <row r="201" spans="9:9">
      <c r="I201" s="351"/>
    </row>
    <row r="202" spans="9:9">
      <c r="I202" s="351"/>
    </row>
    <row r="203" spans="9:9">
      <c r="I203" s="351"/>
    </row>
    <row r="204" spans="9:9">
      <c r="I204" s="351"/>
    </row>
    <row r="205" spans="9:9">
      <c r="I205" s="351"/>
    </row>
    <row r="206" spans="9:9">
      <c r="I206" s="351"/>
    </row>
    <row r="207" spans="9:9">
      <c r="I207" s="351"/>
    </row>
    <row r="208" spans="9:9">
      <c r="I208" s="351"/>
    </row>
    <row r="209" spans="9:9">
      <c r="I209" s="351"/>
    </row>
    <row r="210" spans="9:9">
      <c r="I210" s="351"/>
    </row>
    <row r="211" spans="9:9">
      <c r="I211" s="351"/>
    </row>
    <row r="212" spans="9:9">
      <c r="I212" s="351"/>
    </row>
    <row r="213" spans="9:9">
      <c r="I213" s="351"/>
    </row>
    <row r="214" spans="9:9">
      <c r="I214" s="351"/>
    </row>
    <row r="215" spans="9:9">
      <c r="I215" s="351"/>
    </row>
    <row r="216" spans="9:9">
      <c r="I216" s="351"/>
    </row>
    <row r="217" spans="9:9">
      <c r="I217" s="351"/>
    </row>
    <row r="218" spans="9:9">
      <c r="I218" s="351"/>
    </row>
    <row r="219" spans="9:9">
      <c r="I219" s="351"/>
    </row>
    <row r="220" spans="9:9">
      <c r="I220" s="351"/>
    </row>
    <row r="221" spans="9:9">
      <c r="I221" s="351"/>
    </row>
    <row r="222" spans="9:9">
      <c r="I222" s="351"/>
    </row>
    <row r="223" spans="9:9">
      <c r="I223" s="351"/>
    </row>
    <row r="224" spans="9:9">
      <c r="I224" s="351"/>
    </row>
    <row r="225" spans="9:9">
      <c r="I225" s="351"/>
    </row>
    <row r="226" spans="9:9">
      <c r="I226" s="351"/>
    </row>
    <row r="227" spans="9:9">
      <c r="I227" s="351"/>
    </row>
    <row r="228" spans="9:9">
      <c r="I228" s="351"/>
    </row>
    <row r="229" spans="9:9">
      <c r="I229" s="351"/>
    </row>
    <row r="230" spans="9:9">
      <c r="I230" s="351"/>
    </row>
    <row r="231" spans="9:9">
      <c r="I231" s="351"/>
    </row>
    <row r="232" spans="9:9">
      <c r="I232" s="351"/>
    </row>
    <row r="233" spans="9:9">
      <c r="I233" s="351"/>
    </row>
    <row r="234" spans="9:9">
      <c r="I234" s="351"/>
    </row>
    <row r="235" spans="9:9">
      <c r="I235" s="351"/>
    </row>
    <row r="236" spans="9:9">
      <c r="I236" s="351"/>
    </row>
    <row r="237" spans="9:9">
      <c r="I237" s="351"/>
    </row>
    <row r="238" spans="9:9">
      <c r="I238" s="351"/>
    </row>
    <row r="239" spans="9:9">
      <c r="I239" s="351"/>
    </row>
    <row r="240" spans="9:9">
      <c r="I240" s="351"/>
    </row>
    <row r="241" spans="9:9">
      <c r="I241" s="351"/>
    </row>
    <row r="242" spans="9:9">
      <c r="I242" s="351"/>
    </row>
    <row r="243" spans="9:9">
      <c r="I243" s="351"/>
    </row>
    <row r="244" spans="9:9">
      <c r="I244" s="351"/>
    </row>
    <row r="245" spans="9:9">
      <c r="I245" s="351"/>
    </row>
    <row r="246" spans="9:9">
      <c r="I246" s="351"/>
    </row>
    <row r="247" spans="9:9">
      <c r="I247" s="351"/>
    </row>
    <row r="248" spans="9:9">
      <c r="I248" s="351"/>
    </row>
    <row r="249" spans="9:9">
      <c r="I249" s="351"/>
    </row>
    <row r="250" spans="9:9">
      <c r="I250" s="351"/>
    </row>
    <row r="251" spans="9:9">
      <c r="I251" s="351"/>
    </row>
    <row r="252" spans="9:9">
      <c r="I252" s="351"/>
    </row>
    <row r="253" spans="9:9">
      <c r="I253" s="351"/>
    </row>
    <row r="254" spans="9:9">
      <c r="I254" s="351"/>
    </row>
    <row r="255" spans="9:9">
      <c r="I255" s="351"/>
    </row>
    <row r="256" spans="9:9">
      <c r="I256" s="351"/>
    </row>
    <row r="257" spans="9:9">
      <c r="I257" s="351"/>
    </row>
    <row r="258" spans="9:9">
      <c r="I258" s="351"/>
    </row>
    <row r="259" spans="9:9">
      <c r="I259" s="351"/>
    </row>
    <row r="260" spans="9:9">
      <c r="I260" s="351"/>
    </row>
    <row r="261" spans="9:9">
      <c r="I261" s="351"/>
    </row>
    <row r="262" spans="9:9">
      <c r="I262" s="351"/>
    </row>
    <row r="263" spans="9:9">
      <c r="I263" s="351"/>
    </row>
    <row r="264" spans="9:9">
      <c r="I264" s="351"/>
    </row>
    <row r="265" spans="9:9">
      <c r="I265" s="351"/>
    </row>
    <row r="266" spans="9:9">
      <c r="I266" s="351"/>
    </row>
    <row r="267" spans="9:9">
      <c r="I267" s="351"/>
    </row>
    <row r="268" spans="9:9">
      <c r="I268" s="351"/>
    </row>
    <row r="269" spans="9:9">
      <c r="I269" s="351"/>
    </row>
    <row r="270" spans="9:9">
      <c r="I270" s="351"/>
    </row>
    <row r="271" spans="9:9">
      <c r="I271" s="351"/>
    </row>
    <row r="272" spans="9:9">
      <c r="I272" s="351"/>
    </row>
    <row r="273" spans="9:9">
      <c r="I273" s="351"/>
    </row>
    <row r="274" spans="9:9">
      <c r="I274" s="351"/>
    </row>
    <row r="275" spans="9:9">
      <c r="I275" s="351"/>
    </row>
  </sheetData>
  <mergeCells count="16">
    <mergeCell ref="D21:F21"/>
    <mergeCell ref="D22:F22"/>
    <mergeCell ref="D23:F23"/>
    <mergeCell ref="D24:F24"/>
    <mergeCell ref="B55:C55"/>
    <mergeCell ref="D25:F25"/>
    <mergeCell ref="C35:E35"/>
    <mergeCell ref="C46:E46"/>
    <mergeCell ref="B47:C47"/>
    <mergeCell ref="B48:C48"/>
    <mergeCell ref="B49:C49"/>
    <mergeCell ref="B50:C50"/>
    <mergeCell ref="B51:C51"/>
    <mergeCell ref="B52:C52"/>
    <mergeCell ref="B53:C53"/>
    <mergeCell ref="B54:C54"/>
  </mergeCells>
  <hyperlinks>
    <hyperlink ref="D11" r:id="rId1" xr:uid="{8CEBC740-C89C-432B-BF1A-E436F096F945}"/>
    <hyperlink ref="D12" r:id="rId2" xr:uid="{79855358-4049-4A41-9D1C-777CDDC5C6D5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  <pageSetUpPr fitToPage="1"/>
  </sheetPr>
  <dimension ref="B1:L145"/>
  <sheetViews>
    <sheetView showGridLines="0" topLeftCell="C50" zoomScale="110" zoomScaleNormal="110" workbookViewId="0">
      <selection activeCell="E88" sqref="E88"/>
    </sheetView>
  </sheetViews>
  <sheetFormatPr baseColWidth="10" defaultColWidth="11.42578125" defaultRowHeight="12"/>
  <cols>
    <col min="1" max="1" width="3.85546875" style="181" customWidth="1"/>
    <col min="2" max="2" width="20.85546875" style="181" hidden="1" customWidth="1"/>
    <col min="3" max="3" width="48.7109375" style="181" customWidth="1"/>
    <col min="4" max="4" width="15.28515625" style="181" customWidth="1"/>
    <col min="5" max="5" width="13.7109375" style="181" customWidth="1"/>
    <col min="6" max="6" width="48.7109375" style="181" customWidth="1"/>
    <col min="7" max="7" width="14.42578125" style="181" bestFit="1" customWidth="1"/>
    <col min="8" max="8" width="13.7109375" style="181" customWidth="1"/>
    <col min="9" max="9" width="11.42578125" style="181"/>
    <col min="10" max="10" width="11.85546875" style="181" bestFit="1" customWidth="1"/>
    <col min="11" max="16384" width="11.42578125" style="181"/>
  </cols>
  <sheetData>
    <row r="1" spans="2:8" ht="55.35" customHeight="1"/>
    <row r="2" spans="2:8">
      <c r="E2" s="176"/>
    </row>
    <row r="3" spans="2:8" s="183" customFormat="1">
      <c r="B3" s="182">
        <v>1</v>
      </c>
      <c r="C3" s="684" t="str">
        <f>+INDICE!B2</f>
        <v>TRADERS PRO CASA DE BOLSA S.A.</v>
      </c>
      <c r="D3" s="684"/>
      <c r="E3" s="684"/>
      <c r="F3" s="684"/>
      <c r="G3" s="684"/>
      <c r="H3" s="684"/>
    </row>
    <row r="4" spans="2:8" s="183" customFormat="1" ht="11.25" customHeight="1">
      <c r="C4" s="684" t="s">
        <v>380</v>
      </c>
      <c r="D4" s="684"/>
      <c r="E4" s="684"/>
      <c r="F4" s="684"/>
      <c r="G4" s="684"/>
      <c r="H4" s="684"/>
    </row>
    <row r="5" spans="2:8" s="183" customFormat="1" ht="27" customHeight="1">
      <c r="B5" s="184" t="s">
        <v>381</v>
      </c>
      <c r="C5" s="692" t="s">
        <v>382</v>
      </c>
      <c r="D5" s="692"/>
      <c r="E5" s="692"/>
      <c r="F5" s="692"/>
      <c r="G5" s="692"/>
      <c r="H5" s="692"/>
    </row>
    <row r="6" spans="2:8" s="183" customFormat="1" ht="12" customHeight="1">
      <c r="B6" s="185" t="s">
        <v>383</v>
      </c>
      <c r="C6" s="693" t="s">
        <v>384</v>
      </c>
      <c r="D6" s="693"/>
      <c r="E6" s="693"/>
      <c r="F6" s="693"/>
      <c r="G6" s="693"/>
      <c r="H6" s="693"/>
    </row>
    <row r="7" spans="2:8" s="183" customFormat="1" ht="32.450000000000003" customHeight="1">
      <c r="B7" s="185"/>
      <c r="C7" s="186" t="s">
        <v>116</v>
      </c>
      <c r="D7" s="187" t="str">
        <f>+INDICE!G1</f>
        <v>PERIODO ACTUAL 31/12/ 2022</v>
      </c>
      <c r="E7" s="188" t="s">
        <v>385</v>
      </c>
      <c r="F7" s="186" t="s">
        <v>117</v>
      </c>
      <c r="G7" s="187" t="str">
        <f>+D7</f>
        <v>PERIODO ACTUAL 31/12/ 2022</v>
      </c>
      <c r="H7" s="187" t="s">
        <v>386</v>
      </c>
    </row>
    <row r="8" spans="2:8" s="183" customFormat="1" ht="11.25" customHeight="1">
      <c r="B8" s="185" t="s">
        <v>387</v>
      </c>
      <c r="C8" s="189" t="s">
        <v>388</v>
      </c>
      <c r="D8" s="190"/>
      <c r="E8" s="191"/>
      <c r="F8" s="192" t="s">
        <v>389</v>
      </c>
      <c r="G8" s="193"/>
      <c r="H8" s="194"/>
    </row>
    <row r="9" spans="2:8" s="183" customFormat="1" ht="11.25" customHeight="1">
      <c r="B9" s="185" t="s">
        <v>390</v>
      </c>
      <c r="C9" s="368" t="s">
        <v>391</v>
      </c>
      <c r="D9" s="195"/>
      <c r="E9" s="194"/>
      <c r="F9" s="192" t="s">
        <v>392</v>
      </c>
      <c r="G9" s="193"/>
      <c r="H9" s="194"/>
    </row>
    <row r="10" spans="2:8" s="183" customFormat="1" ht="11.25" customHeight="1">
      <c r="B10" s="185"/>
      <c r="C10" s="196" t="s">
        <v>393</v>
      </c>
      <c r="D10" s="195">
        <v>0</v>
      </c>
      <c r="E10" s="194">
        <v>0</v>
      </c>
      <c r="F10" s="372" t="s">
        <v>394</v>
      </c>
      <c r="G10" s="193">
        <f>'[7]Balance Gral 2022'!$B$62</f>
        <v>317004338</v>
      </c>
      <c r="H10" s="194">
        <v>5965366</v>
      </c>
    </row>
    <row r="11" spans="2:8" s="183" customFormat="1" ht="11.25" customHeight="1">
      <c r="B11" s="185"/>
      <c r="C11" s="196" t="s">
        <v>395</v>
      </c>
      <c r="D11" s="195">
        <v>0</v>
      </c>
      <c r="E11" s="194">
        <v>0</v>
      </c>
      <c r="F11" s="369" t="s">
        <v>396</v>
      </c>
      <c r="G11" s="193">
        <f>'[7]Balance Gral 2022'!$B$72+'[7]Balance Gral 2022'!$B$78-41978152</f>
        <v>18508742</v>
      </c>
      <c r="H11" s="194">
        <v>14504430</v>
      </c>
    </row>
    <row r="12" spans="2:8" s="183" customFormat="1" ht="11.25" customHeight="1">
      <c r="B12" s="185"/>
      <c r="C12" s="196" t="s">
        <v>397</v>
      </c>
      <c r="D12" s="195">
        <f>'[7]Balance Gral 2022'!$B$5</f>
        <v>396498174</v>
      </c>
      <c r="E12" s="194">
        <v>112935599</v>
      </c>
      <c r="F12" s="369" t="s">
        <v>398</v>
      </c>
      <c r="G12" s="194">
        <v>41978152</v>
      </c>
      <c r="H12" s="198">
        <v>440000</v>
      </c>
    </row>
    <row r="13" spans="2:8" s="183" customFormat="1" ht="11.25" customHeight="1">
      <c r="B13" s="185"/>
      <c r="C13" s="199"/>
      <c r="D13" s="200">
        <f>+D12+D11+D10</f>
        <v>396498174</v>
      </c>
      <c r="E13" s="200">
        <v>112935599</v>
      </c>
      <c r="F13" s="369" t="s">
        <v>399</v>
      </c>
      <c r="G13" s="193">
        <v>0</v>
      </c>
      <c r="H13" s="194">
        <v>0</v>
      </c>
    </row>
    <row r="14" spans="2:8" s="183" customFormat="1" ht="11.25" customHeight="1">
      <c r="B14" s="185"/>
      <c r="C14" s="199"/>
      <c r="D14" s="195"/>
      <c r="E14" s="194"/>
      <c r="F14" s="369" t="s">
        <v>400</v>
      </c>
      <c r="G14" s="193">
        <v>0</v>
      </c>
      <c r="H14" s="194">
        <v>0</v>
      </c>
    </row>
    <row r="15" spans="2:8" s="183" customFormat="1" ht="11.25" customHeight="1">
      <c r="B15" s="185"/>
      <c r="C15" s="199"/>
      <c r="D15" s="195"/>
      <c r="E15" s="194"/>
      <c r="F15" s="192"/>
      <c r="G15" s="200">
        <f>SUM(G10:G14)</f>
        <v>377491232</v>
      </c>
      <c r="H15" s="200">
        <f>SUM(H10:H14)</f>
        <v>20909796</v>
      </c>
    </row>
    <row r="16" spans="2:8" s="183" customFormat="1" ht="11.25" customHeight="1">
      <c r="B16" s="185" t="s">
        <v>401</v>
      </c>
      <c r="C16" s="368" t="s">
        <v>402</v>
      </c>
      <c r="D16" s="195">
        <v>0</v>
      </c>
      <c r="E16" s="194">
        <v>0</v>
      </c>
      <c r="F16" s="370" t="s">
        <v>403</v>
      </c>
      <c r="G16" s="193"/>
      <c r="H16" s="194"/>
    </row>
    <row r="17" spans="2:12" s="183" customFormat="1" ht="11.25" customHeight="1">
      <c r="B17" s="185" t="s">
        <v>404</v>
      </c>
      <c r="C17" s="199" t="s">
        <v>405</v>
      </c>
      <c r="D17" s="195">
        <v>0</v>
      </c>
      <c r="E17" s="194">
        <v>0</v>
      </c>
      <c r="F17" s="197" t="s">
        <v>406</v>
      </c>
      <c r="G17" s="193">
        <v>0</v>
      </c>
      <c r="H17" s="194">
        <v>0</v>
      </c>
    </row>
    <row r="18" spans="2:12" s="183" customFormat="1" ht="11.25" customHeight="1">
      <c r="B18" s="185"/>
      <c r="C18" s="199" t="s">
        <v>407</v>
      </c>
      <c r="D18" s="195">
        <f>'[7]Balance Gral 2022'!$B$17</f>
        <v>8400633163</v>
      </c>
      <c r="E18" s="194">
        <v>10638534504</v>
      </c>
      <c r="F18" s="197" t="s">
        <v>408</v>
      </c>
      <c r="G18" s="193">
        <f>'[7]Balance Gral 2022'!$B$70</f>
        <v>6754407535</v>
      </c>
      <c r="H18" s="194">
        <v>8918196834</v>
      </c>
    </row>
    <row r="19" spans="2:12" s="183" customFormat="1" ht="11.25" customHeight="1">
      <c r="B19" s="185"/>
      <c r="C19" s="201" t="s">
        <v>409</v>
      </c>
      <c r="D19" s="195">
        <v>0</v>
      </c>
      <c r="E19" s="194">
        <v>0</v>
      </c>
      <c r="F19" s="197" t="s">
        <v>410</v>
      </c>
      <c r="G19" s="202">
        <f>'[7]Balance Gral 2022'!$B$68</f>
        <v>416085000</v>
      </c>
      <c r="H19" s="203">
        <v>107815551</v>
      </c>
    </row>
    <row r="20" spans="2:12" s="183" customFormat="1" ht="11.25" customHeight="1">
      <c r="B20" s="185"/>
      <c r="C20" s="199"/>
      <c r="D20" s="204">
        <f>+D18+D17</f>
        <v>8400633163</v>
      </c>
      <c r="E20" s="204">
        <v>10638534504</v>
      </c>
      <c r="F20" s="205"/>
      <c r="G20" s="206">
        <f>SUM(G17:G19)</f>
        <v>7170492535</v>
      </c>
      <c r="H20" s="206">
        <v>9026012385</v>
      </c>
    </row>
    <row r="21" spans="2:12" s="183" customFormat="1" ht="11.25" customHeight="1">
      <c r="B21" s="185"/>
      <c r="C21" s="368" t="s">
        <v>411</v>
      </c>
      <c r="D21" s="195"/>
      <c r="E21" s="194"/>
      <c r="F21" t="s">
        <v>412</v>
      </c>
      <c r="G21" s="193"/>
      <c r="H21" s="194"/>
    </row>
    <row r="22" spans="2:12" s="183" customFormat="1" ht="11.25" customHeight="1">
      <c r="B22" s="185"/>
      <c r="C22" s="196" t="s">
        <v>413</v>
      </c>
      <c r="D22" s="195">
        <f>'[7]Balance Gral 2022'!$B$30</f>
        <v>16642719</v>
      </c>
      <c r="E22" s="198">
        <v>16074000</v>
      </c>
      <c r="F22" s="197" t="s">
        <v>414</v>
      </c>
      <c r="G22" s="193">
        <v>0</v>
      </c>
      <c r="H22" s="194">
        <v>211539</v>
      </c>
    </row>
    <row r="23" spans="2:12" s="183" customFormat="1" ht="11.25" customHeight="1">
      <c r="B23" s="185"/>
      <c r="C23" s="196" t="s">
        <v>415</v>
      </c>
      <c r="D23" s="195">
        <f>'[7]Balance Gral 2022'!$B$33</f>
        <v>80175613</v>
      </c>
      <c r="E23" s="194">
        <v>25480071</v>
      </c>
      <c r="F23" s="197" t="s">
        <v>416</v>
      </c>
      <c r="G23" s="193">
        <v>0</v>
      </c>
      <c r="H23" s="194">
        <v>0</v>
      </c>
    </row>
    <row r="24" spans="2:12" s="183" customFormat="1" ht="14.1" customHeight="1">
      <c r="B24" s="185"/>
      <c r="C24" s="196" t="s">
        <v>417</v>
      </c>
      <c r="D24" s="195">
        <v>0</v>
      </c>
      <c r="E24" s="194">
        <v>0</v>
      </c>
      <c r="F24" s="197" t="s">
        <v>418</v>
      </c>
      <c r="G24" s="193">
        <v>0</v>
      </c>
      <c r="H24" s="194">
        <v>0</v>
      </c>
    </row>
    <row r="25" spans="2:12" s="183" customFormat="1" ht="11.25" customHeight="1">
      <c r="B25" s="185"/>
      <c r="C25" s="201" t="s">
        <v>419</v>
      </c>
      <c r="D25" s="195">
        <v>0</v>
      </c>
      <c r="E25" s="194">
        <v>0</v>
      </c>
      <c r="F25" s="197" t="s">
        <v>420</v>
      </c>
      <c r="G25" s="193">
        <f>'[7]Balance Gral 2022'!$B$77</f>
        <v>6400658</v>
      </c>
      <c r="H25" s="194">
        <v>981750</v>
      </c>
    </row>
    <row r="26" spans="2:12" s="183" customFormat="1" ht="11.25" customHeight="1">
      <c r="B26" s="185"/>
      <c r="C26" s="196" t="s">
        <v>421</v>
      </c>
      <c r="D26" s="429">
        <f>+'[7]Balance Gral 2022'!$B$38</f>
        <v>139920000</v>
      </c>
      <c r="E26" s="194">
        <v>28520000</v>
      </c>
      <c r="F26" s="197" t="s">
        <v>422</v>
      </c>
      <c r="G26" s="202">
        <v>0</v>
      </c>
      <c r="H26" s="203">
        <v>0</v>
      </c>
    </row>
    <row r="27" spans="2:12" s="183" customFormat="1" ht="11.25" customHeight="1">
      <c r="B27" s="185" t="s">
        <v>423</v>
      </c>
      <c r="C27" s="201" t="s">
        <v>424</v>
      </c>
      <c r="D27" s="195">
        <v>0</v>
      </c>
      <c r="E27" s="194">
        <v>0</v>
      </c>
      <c r="F27" s="197"/>
      <c r="G27" s="206">
        <f>SUM(G23:G26)</f>
        <v>6400658</v>
      </c>
      <c r="H27" s="206">
        <f>SUM(H22:H26)</f>
        <v>1193289</v>
      </c>
    </row>
    <row r="28" spans="2:12" s="183" customFormat="1" ht="11.25" customHeight="1">
      <c r="B28" s="185" t="s">
        <v>425</v>
      </c>
      <c r="C28" s="196" t="s">
        <v>426</v>
      </c>
      <c r="D28" s="195">
        <v>0</v>
      </c>
      <c r="E28" s="194">
        <v>0</v>
      </c>
      <c r="F28" s="197"/>
      <c r="G28" s="193"/>
      <c r="H28" s="194"/>
      <c r="J28" s="207"/>
      <c r="K28" s="207"/>
      <c r="L28" s="207"/>
    </row>
    <row r="29" spans="2:12" s="183" customFormat="1" ht="11.25" customHeight="1">
      <c r="B29" s="185" t="s">
        <v>427</v>
      </c>
      <c r="C29" s="196"/>
      <c r="D29" s="200">
        <f>SUM(D22:D28)</f>
        <v>236738332</v>
      </c>
      <c r="E29" s="200">
        <v>70074071</v>
      </c>
      <c r="F29" s="197"/>
      <c r="G29" s="193"/>
      <c r="H29" s="194"/>
      <c r="I29" s="207"/>
      <c r="J29" s="207"/>
      <c r="K29" s="207"/>
      <c r="L29" s="207"/>
    </row>
    <row r="30" spans="2:12" s="183" customFormat="1" ht="11.25" customHeight="1">
      <c r="B30" s="185"/>
      <c r="C30" s="189" t="s">
        <v>428</v>
      </c>
      <c r="D30" s="195"/>
      <c r="E30" s="194"/>
      <c r="F30" s="372" t="s">
        <v>429</v>
      </c>
      <c r="G30" s="193"/>
      <c r="H30" s="194"/>
      <c r="I30" s="208"/>
      <c r="J30" s="208"/>
    </row>
    <row r="31" spans="2:12" s="183" customFormat="1" ht="11.25" customHeight="1">
      <c r="B31" s="185" t="s">
        <v>430</v>
      </c>
      <c r="C31" s="20" t="s">
        <v>431</v>
      </c>
      <c r="D31" s="190"/>
      <c r="E31" s="191"/>
      <c r="F31" s="209"/>
      <c r="G31" s="210"/>
      <c r="H31" s="191"/>
    </row>
    <row r="32" spans="2:12" s="183" customFormat="1" ht="11.25" customHeight="1">
      <c r="B32" s="185" t="s">
        <v>432</v>
      </c>
      <c r="C32" s="196" t="s">
        <v>433</v>
      </c>
      <c r="D32" s="195">
        <f>'[7]Balance Gral 2022'!$B$42</f>
        <v>998105547</v>
      </c>
      <c r="E32" s="194">
        <v>337853472</v>
      </c>
      <c r="F32" s="197" t="s">
        <v>434</v>
      </c>
      <c r="G32" s="193">
        <v>0</v>
      </c>
      <c r="H32" s="194">
        <v>0</v>
      </c>
    </row>
    <row r="33" spans="2:9" s="183" customFormat="1" ht="11.25" customHeight="1">
      <c r="B33" s="185" t="s">
        <v>435</v>
      </c>
      <c r="C33" s="196" t="s">
        <v>436</v>
      </c>
      <c r="D33" s="195">
        <v>0</v>
      </c>
      <c r="E33" s="194">
        <v>0</v>
      </c>
      <c r="F33" s="197" t="s">
        <v>437</v>
      </c>
      <c r="G33" s="193">
        <v>0</v>
      </c>
      <c r="H33" s="194">
        <v>0</v>
      </c>
      <c r="I33" s="208">
        <v>0</v>
      </c>
    </row>
    <row r="34" spans="2:9" s="183" customFormat="1" ht="11.25" customHeight="1">
      <c r="B34" s="185" t="s">
        <v>438</v>
      </c>
      <c r="C34" s="196" t="s">
        <v>439</v>
      </c>
      <c r="D34" s="195">
        <v>0</v>
      </c>
      <c r="E34" s="194">
        <v>0</v>
      </c>
      <c r="F34" s="197" t="s">
        <v>440</v>
      </c>
      <c r="G34" s="193">
        <f>'[7]Balance Gral 2022'!$B$80</f>
        <v>454881917</v>
      </c>
      <c r="H34" s="194">
        <v>297828231</v>
      </c>
    </row>
    <row r="35" spans="2:9" s="183" customFormat="1" ht="11.25" customHeight="1">
      <c r="B35" s="185"/>
      <c r="C35" s="196"/>
      <c r="D35" s="195"/>
      <c r="E35" s="194"/>
      <c r="F35" s="197"/>
      <c r="G35" s="193"/>
      <c r="H35" s="203"/>
    </row>
    <row r="36" spans="2:9" s="183" customFormat="1" ht="11.25" customHeight="1">
      <c r="B36" s="185"/>
      <c r="C36" s="189"/>
      <c r="D36" s="200">
        <f>SUM(D32:D35)</f>
        <v>998105547</v>
      </c>
      <c r="E36" s="200">
        <v>337853472</v>
      </c>
      <c r="F36" s="197"/>
      <c r="G36" s="211">
        <f>SUM(G32:G35)</f>
        <v>454881917</v>
      </c>
      <c r="H36" s="206">
        <f>SUM(H32:H35)</f>
        <v>297828231</v>
      </c>
    </row>
    <row r="37" spans="2:9" s="183" customFormat="1" ht="11.25" customHeight="1" thickBot="1">
      <c r="B37" s="185" t="s">
        <v>441</v>
      </c>
      <c r="C37" s="212" t="s">
        <v>442</v>
      </c>
      <c r="D37" s="213">
        <f>+D36+D29+D20+D13</f>
        <v>10031975216</v>
      </c>
      <c r="E37" s="213">
        <v>11159397646</v>
      </c>
      <c r="F37" s="214" t="s">
        <v>443</v>
      </c>
      <c r="G37" s="215">
        <f>+G36+G27+G20+G15</f>
        <v>8009266342</v>
      </c>
      <c r="H37" s="216">
        <f>+H36+H27+H20+H15</f>
        <v>9345943701</v>
      </c>
    </row>
    <row r="38" spans="2:9" s="183" customFormat="1" ht="11.25" customHeight="1" thickTop="1">
      <c r="B38" s="185"/>
      <c r="C38" s="196"/>
      <c r="D38" s="217"/>
      <c r="E38" s="194"/>
      <c r="F38" s="205"/>
      <c r="G38" s="193"/>
      <c r="H38" s="194"/>
    </row>
    <row r="39" spans="2:9" s="183" customFormat="1" ht="11.25" customHeight="1">
      <c r="B39" s="185" t="s">
        <v>444</v>
      </c>
      <c r="C39" s="189" t="s">
        <v>445</v>
      </c>
      <c r="D39" s="195"/>
      <c r="E39" s="194"/>
      <c r="F39" s="192" t="s">
        <v>446</v>
      </c>
      <c r="G39" s="193"/>
      <c r="H39" s="194"/>
    </row>
    <row r="40" spans="2:9" s="183" customFormat="1" ht="11.25" customHeight="1">
      <c r="B40" s="185" t="s">
        <v>447</v>
      </c>
      <c r="C40" s="368" t="s">
        <v>448</v>
      </c>
      <c r="D40" s="195"/>
      <c r="E40" s="194"/>
      <c r="F40" s="192" t="s">
        <v>392</v>
      </c>
      <c r="G40" s="193"/>
      <c r="H40" s="194"/>
    </row>
    <row r="41" spans="2:9" s="183" customFormat="1" ht="11.25" customHeight="1">
      <c r="B41" s="185"/>
      <c r="C41" s="196" t="s">
        <v>405</v>
      </c>
      <c r="D41" s="195">
        <v>0</v>
      </c>
      <c r="E41" s="194">
        <v>0</v>
      </c>
      <c r="F41" s="369" t="s">
        <v>394</v>
      </c>
      <c r="G41" s="193">
        <v>0</v>
      </c>
      <c r="H41" s="194">
        <v>0</v>
      </c>
    </row>
    <row r="42" spans="2:9" s="183" customFormat="1" ht="11.25" customHeight="1">
      <c r="B42" s="185"/>
      <c r="C42" s="196" t="s">
        <v>449</v>
      </c>
      <c r="D42" s="195">
        <f>'[7]Balance Gral 2022'!$B$48+'[7]Balance Gral 2022'!$B$49+'[7]Balance Gral 2022'!$B$52</f>
        <v>652838241</v>
      </c>
      <c r="E42" s="194">
        <v>600000000</v>
      </c>
      <c r="F42" s="369" t="s">
        <v>396</v>
      </c>
      <c r="G42" s="193">
        <v>0</v>
      </c>
      <c r="H42" s="194">
        <v>0</v>
      </c>
    </row>
    <row r="43" spans="2:9" s="183" customFormat="1" ht="11.25" customHeight="1">
      <c r="B43" s="185"/>
      <c r="C43" s="196" t="s">
        <v>450</v>
      </c>
      <c r="D43" s="195">
        <f>'[7]Balance Gral 2022'!$B$47</f>
        <v>1002000000</v>
      </c>
      <c r="E43" s="194">
        <v>900000000</v>
      </c>
      <c r="F43" s="369" t="s">
        <v>398</v>
      </c>
      <c r="G43" s="193">
        <v>0</v>
      </c>
      <c r="H43" s="194">
        <v>0</v>
      </c>
    </row>
    <row r="44" spans="2:9" s="183" customFormat="1" ht="11.25" customHeight="1">
      <c r="B44" s="185"/>
      <c r="C44" s="196" t="s">
        <v>451</v>
      </c>
      <c r="D44" s="195">
        <v>0</v>
      </c>
      <c r="E44" s="194">
        <v>0</v>
      </c>
      <c r="F44" s="369" t="s">
        <v>399</v>
      </c>
      <c r="G44" s="193">
        <v>0</v>
      </c>
      <c r="H44" s="194">
        <v>0</v>
      </c>
    </row>
    <row r="45" spans="2:9" s="183" customFormat="1" ht="11.25" customHeight="1">
      <c r="B45" s="219" t="s">
        <v>452</v>
      </c>
      <c r="C45" s="196" t="s">
        <v>453</v>
      </c>
      <c r="D45" s="195">
        <v>0</v>
      </c>
      <c r="E45" s="194">
        <v>0</v>
      </c>
      <c r="F45" s="369" t="s">
        <v>400</v>
      </c>
      <c r="G45" s="193">
        <v>0</v>
      </c>
      <c r="H45" s="194">
        <v>0</v>
      </c>
    </row>
    <row r="46" spans="2:9" s="183" customFormat="1" ht="11.25" customHeight="1">
      <c r="B46" s="185" t="s">
        <v>454</v>
      </c>
      <c r="C46" s="201" t="s">
        <v>409</v>
      </c>
      <c r="D46" s="195">
        <v>0</v>
      </c>
      <c r="E46" s="194">
        <v>0</v>
      </c>
      <c r="F46" s="192"/>
      <c r="G46" s="193"/>
      <c r="H46" s="194"/>
    </row>
    <row r="47" spans="2:9" s="183" customFormat="1" ht="11.25" customHeight="1">
      <c r="B47" s="185" t="s">
        <v>455</v>
      </c>
      <c r="C47" s="199"/>
      <c r="D47" s="200">
        <f>+D41+D43+D42</f>
        <v>1654838241</v>
      </c>
      <c r="E47" s="200">
        <v>1500000000</v>
      </c>
      <c r="F47" s="370" t="s">
        <v>403</v>
      </c>
      <c r="G47" s="193"/>
      <c r="H47" s="194"/>
    </row>
    <row r="48" spans="2:9" s="183" customFormat="1" ht="11.25" customHeight="1">
      <c r="B48" s="185"/>
      <c r="C48" s="368" t="s">
        <v>411</v>
      </c>
      <c r="D48" s="195"/>
      <c r="E48" s="194"/>
      <c r="F48" s="197" t="s">
        <v>456</v>
      </c>
      <c r="G48" s="193">
        <v>0</v>
      </c>
      <c r="H48" s="194">
        <v>0</v>
      </c>
    </row>
    <row r="49" spans="2:8" s="183" customFormat="1" ht="11.25" customHeight="1">
      <c r="B49" s="185"/>
      <c r="C49" s="196" t="s">
        <v>413</v>
      </c>
      <c r="D49" s="195">
        <v>0</v>
      </c>
      <c r="E49" s="195">
        <v>0</v>
      </c>
      <c r="F49" s="197" t="s">
        <v>410</v>
      </c>
      <c r="G49" s="193">
        <v>0</v>
      </c>
      <c r="H49" s="194">
        <v>0</v>
      </c>
    </row>
    <row r="50" spans="2:8" s="183" customFormat="1" ht="11.25" customHeight="1">
      <c r="B50" s="185" t="s">
        <v>457</v>
      </c>
      <c r="C50" s="196" t="s">
        <v>417</v>
      </c>
      <c r="D50" s="195">
        <v>0</v>
      </c>
      <c r="E50" s="195">
        <v>0</v>
      </c>
      <c r="F50" s="218"/>
      <c r="G50" s="200">
        <v>0</v>
      </c>
      <c r="H50" s="204">
        <v>0</v>
      </c>
    </row>
    <row r="51" spans="2:8" s="183" customFormat="1" ht="11.25" customHeight="1">
      <c r="B51" s="185" t="s">
        <v>458</v>
      </c>
      <c r="C51" s="196" t="s">
        <v>459</v>
      </c>
      <c r="D51" s="195">
        <v>0</v>
      </c>
      <c r="E51" s="195">
        <v>0</v>
      </c>
      <c r="F51" s="192" t="s">
        <v>460</v>
      </c>
      <c r="G51" s="193"/>
      <c r="H51" s="194"/>
    </row>
    <row r="52" spans="2:8" s="183" customFormat="1" ht="11.25" customHeight="1">
      <c r="B52" s="185" t="s">
        <v>461</v>
      </c>
      <c r="C52" s="201" t="s">
        <v>419</v>
      </c>
      <c r="D52" s="195">
        <v>0</v>
      </c>
      <c r="E52" s="195">
        <v>0</v>
      </c>
      <c r="F52" s="197" t="s">
        <v>462</v>
      </c>
      <c r="G52" s="193">
        <v>0</v>
      </c>
      <c r="H52" s="194">
        <v>0</v>
      </c>
    </row>
    <row r="53" spans="2:8" s="183" customFormat="1" ht="11.25" customHeight="1">
      <c r="B53" s="185" t="s">
        <v>463</v>
      </c>
      <c r="C53" s="196" t="s">
        <v>421</v>
      </c>
      <c r="D53" s="195">
        <v>0</v>
      </c>
      <c r="E53" s="195">
        <v>0</v>
      </c>
      <c r="F53" s="197" t="s">
        <v>464</v>
      </c>
      <c r="G53" s="193">
        <v>0</v>
      </c>
      <c r="H53" s="194">
        <v>0</v>
      </c>
    </row>
    <row r="54" spans="2:8" s="183" customFormat="1" ht="11.25" customHeight="1">
      <c r="B54" s="185"/>
      <c r="C54" s="201" t="s">
        <v>424</v>
      </c>
      <c r="D54" s="195">
        <v>0</v>
      </c>
      <c r="E54" s="195">
        <v>0</v>
      </c>
      <c r="F54" s="197" t="s">
        <v>465</v>
      </c>
      <c r="G54" s="193">
        <v>0</v>
      </c>
      <c r="H54" s="194">
        <v>0</v>
      </c>
    </row>
    <row r="55" spans="2:8" s="183" customFormat="1" ht="11.25" customHeight="1">
      <c r="B55" s="185"/>
      <c r="C55" s="196" t="s">
        <v>426</v>
      </c>
      <c r="D55" s="195">
        <v>0</v>
      </c>
      <c r="E55" s="195">
        <v>0</v>
      </c>
      <c r="F55" s="205"/>
      <c r="G55" s="193">
        <v>0</v>
      </c>
      <c r="H55" s="194">
        <v>0</v>
      </c>
    </row>
    <row r="56" spans="2:8" s="183" customFormat="1" ht="11.25" customHeight="1">
      <c r="B56" s="185"/>
      <c r="C56" s="196"/>
      <c r="D56" s="195"/>
      <c r="E56" s="194"/>
      <c r="F56" s="205"/>
      <c r="G56" s="210"/>
      <c r="H56" s="191"/>
    </row>
    <row r="57" spans="2:8" s="183" customFormat="1" ht="11.25" customHeight="1" thickBot="1">
      <c r="B57" s="185" t="s">
        <v>466</v>
      </c>
      <c r="C57" s="199"/>
      <c r="D57" s="200">
        <f>+D49+D50</f>
        <v>0</v>
      </c>
      <c r="E57" s="200">
        <v>0</v>
      </c>
      <c r="F57" s="214" t="s">
        <v>467</v>
      </c>
      <c r="G57" s="213">
        <v>0</v>
      </c>
      <c r="H57" s="213">
        <v>0</v>
      </c>
    </row>
    <row r="58" spans="2:8" s="183" customFormat="1" ht="11.25" customHeight="1" thickTop="1">
      <c r="B58" s="185"/>
      <c r="C58" s="368" t="s">
        <v>468</v>
      </c>
      <c r="D58" s="195"/>
      <c r="E58" s="194"/>
      <c r="F58" s="220" t="s">
        <v>469</v>
      </c>
      <c r="G58" s="221">
        <f>+G37</f>
        <v>8009266342</v>
      </c>
      <c r="H58" s="221">
        <f>+H37</f>
        <v>9345943701</v>
      </c>
    </row>
    <row r="59" spans="2:8" s="183" customFormat="1" ht="11.25" customHeight="1">
      <c r="B59" s="185"/>
      <c r="C59" s="196" t="s">
        <v>470</v>
      </c>
      <c r="D59" s="195">
        <f>'[7]Balance Gral 2022'!$B$55</f>
        <v>13232431</v>
      </c>
      <c r="E59" s="194">
        <v>5276772</v>
      </c>
      <c r="F59" s="370" t="s">
        <v>471</v>
      </c>
      <c r="G59" s="193"/>
      <c r="H59" s="194"/>
    </row>
    <row r="60" spans="2:8" s="183" customFormat="1" ht="11.25" customHeight="1">
      <c r="B60" s="185"/>
      <c r="C60" s="196" t="s">
        <v>472</v>
      </c>
      <c r="D60" s="195">
        <f>'[7]Balance Gral 2022'!$B$56</f>
        <v>-949819</v>
      </c>
      <c r="E60" s="194">
        <v>0</v>
      </c>
      <c r="F60" s="192" t="s">
        <v>473</v>
      </c>
      <c r="G60" s="193"/>
      <c r="H60" s="194"/>
    </row>
    <row r="61" spans="2:8" s="183" customFormat="1" ht="11.25" customHeight="1">
      <c r="B61" s="185"/>
      <c r="C61" s="196"/>
      <c r="D61" s="200">
        <f>+D59+D60</f>
        <v>12282612</v>
      </c>
      <c r="E61" s="200">
        <v>5276772</v>
      </c>
      <c r="F61" s="197" t="s">
        <v>474</v>
      </c>
      <c r="G61" s="193">
        <f>'[7]Balance Gral 2022'!$B$84</f>
        <v>3805000000</v>
      </c>
      <c r="H61" s="194">
        <v>3386000000</v>
      </c>
    </row>
    <row r="62" spans="2:8" s="183" customFormat="1" ht="11.25" customHeight="1">
      <c r="B62" s="185"/>
      <c r="C62" s="368" t="s">
        <v>475</v>
      </c>
      <c r="D62" s="195"/>
      <c r="E62" s="194"/>
      <c r="F62" s="197" t="s">
        <v>476</v>
      </c>
      <c r="G62" s="202">
        <v>0</v>
      </c>
      <c r="H62" s="203">
        <v>0</v>
      </c>
    </row>
    <row r="63" spans="2:8" s="183" customFormat="1" ht="11.25" customHeight="1">
      <c r="B63" s="185"/>
      <c r="C63" s="196" t="s">
        <v>477</v>
      </c>
      <c r="D63" s="195">
        <v>0</v>
      </c>
      <c r="E63" s="194">
        <v>0</v>
      </c>
      <c r="F63" s="205"/>
      <c r="G63" s="200">
        <f>SUM(G61:G62)</f>
        <v>3805000000</v>
      </c>
      <c r="H63" s="200">
        <v>3386000000</v>
      </c>
    </row>
    <row r="64" spans="2:8" s="183" customFormat="1" ht="11.25" customHeight="1">
      <c r="B64" s="185"/>
      <c r="C64" s="196" t="s">
        <v>478</v>
      </c>
      <c r="D64" s="195">
        <v>0</v>
      </c>
      <c r="E64" s="194">
        <v>0</v>
      </c>
      <c r="F64" s="192" t="s">
        <v>479</v>
      </c>
      <c r="G64" s="193"/>
      <c r="H64" s="194"/>
    </row>
    <row r="65" spans="2:10" s="183" customFormat="1" ht="11.25" customHeight="1">
      <c r="B65" s="185"/>
      <c r="C65" s="196" t="s">
        <v>480</v>
      </c>
      <c r="D65" s="195">
        <v>0</v>
      </c>
      <c r="E65" s="194">
        <v>0</v>
      </c>
      <c r="F65" s="197" t="s">
        <v>481</v>
      </c>
      <c r="G65" s="193">
        <v>0</v>
      </c>
      <c r="H65" s="194">
        <v>0</v>
      </c>
    </row>
    <row r="66" spans="2:10" s="183" customFormat="1" ht="11.25" customHeight="1">
      <c r="B66" s="185"/>
      <c r="C66" s="196" t="s">
        <v>482</v>
      </c>
      <c r="D66" s="195">
        <v>0</v>
      </c>
      <c r="E66" s="194">
        <v>0</v>
      </c>
      <c r="F66" s="197" t="s">
        <v>483</v>
      </c>
      <c r="G66" s="193">
        <v>0</v>
      </c>
      <c r="H66" s="195">
        <v>0</v>
      </c>
    </row>
    <row r="67" spans="2:10" s="183" customFormat="1" ht="11.25" customHeight="1">
      <c r="B67" s="185"/>
      <c r="C67" s="367" t="s">
        <v>484</v>
      </c>
      <c r="D67" s="222">
        <v>0</v>
      </c>
      <c r="E67" s="203">
        <v>0</v>
      </c>
      <c r="F67" s="197" t="s">
        <v>485</v>
      </c>
      <c r="G67" s="193">
        <f>'[7]Balance Gral 2022'!$B$89</f>
        <v>102000000</v>
      </c>
      <c r="H67" s="194">
        <v>0</v>
      </c>
    </row>
    <row r="68" spans="2:10" s="183" customFormat="1" ht="11.25" customHeight="1">
      <c r="B68" s="185"/>
      <c r="C68" s="199"/>
      <c r="D68" s="200">
        <f>SUM(D63:D67)</f>
        <v>0</v>
      </c>
      <c r="E68" s="200">
        <v>0</v>
      </c>
      <c r="F68" s="197"/>
      <c r="G68" s="193"/>
      <c r="H68" s="194"/>
    </row>
    <row r="69" spans="2:10" s="183" customFormat="1" ht="11.25" customHeight="1">
      <c r="B69" s="185" t="s">
        <v>486</v>
      </c>
      <c r="C69" s="189" t="s">
        <v>428</v>
      </c>
      <c r="D69" s="195"/>
      <c r="E69" s="194"/>
      <c r="F69" s="197"/>
      <c r="G69" s="200">
        <f>SUM(G65:G68)</f>
        <v>102000000</v>
      </c>
      <c r="H69" s="200">
        <v>0</v>
      </c>
    </row>
    <row r="70" spans="2:10" s="183" customFormat="1" ht="11.25" customHeight="1">
      <c r="B70" s="185" t="s">
        <v>487</v>
      </c>
      <c r="C70" s="368" t="s">
        <v>488</v>
      </c>
      <c r="D70" s="195"/>
      <c r="E70" s="194"/>
      <c r="F70" s="192"/>
      <c r="G70" s="210"/>
      <c r="H70" s="191"/>
    </row>
    <row r="71" spans="2:10" s="183" customFormat="1" ht="11.25" customHeight="1">
      <c r="B71" s="185"/>
      <c r="C71" s="196" t="s">
        <v>489</v>
      </c>
      <c r="D71" s="195">
        <v>0</v>
      </c>
      <c r="E71" s="194">
        <v>0</v>
      </c>
      <c r="F71" s="192" t="s">
        <v>111</v>
      </c>
      <c r="G71" s="210"/>
      <c r="H71" s="191"/>
    </row>
    <row r="72" spans="2:10" s="183" customFormat="1" ht="11.25" customHeight="1">
      <c r="B72" s="185" t="s">
        <v>490</v>
      </c>
      <c r="C72" s="196" t="s">
        <v>491</v>
      </c>
      <c r="D72" s="195">
        <f>'[7]Balance Gral 2022'!$B$57</f>
        <v>38492921</v>
      </c>
      <c r="E72" s="194">
        <v>57739382</v>
      </c>
      <c r="F72" s="205" t="s">
        <v>111</v>
      </c>
      <c r="G72" s="193">
        <f>+H73-1</f>
        <v>-9529901.7300000004</v>
      </c>
      <c r="H72" s="194">
        <v>0</v>
      </c>
    </row>
    <row r="73" spans="2:10" ht="11.25" customHeight="1">
      <c r="B73" s="228" t="s">
        <v>492</v>
      </c>
      <c r="C73" s="196" t="s">
        <v>493</v>
      </c>
      <c r="D73" s="195">
        <v>0</v>
      </c>
      <c r="E73" s="194">
        <v>0</v>
      </c>
      <c r="F73" s="205" t="s">
        <v>494</v>
      </c>
      <c r="G73" s="223">
        <f>'[7]Balance Gral 2022'!$B$94</f>
        <v>-169147450.69999999</v>
      </c>
      <c r="H73" s="223">
        <f>-9318361.73-211539</f>
        <v>-9529900.7300000004</v>
      </c>
    </row>
    <row r="74" spans="2:10" ht="11.25" customHeight="1">
      <c r="B74" s="228" t="s">
        <v>495</v>
      </c>
      <c r="C74" s="199"/>
      <c r="D74" s="229">
        <f>SUM(D71:D73)</f>
        <v>38492921</v>
      </c>
      <c r="E74" s="229">
        <v>57739382</v>
      </c>
      <c r="F74" s="205"/>
      <c r="G74" s="224">
        <f>SUM(G72:G73)</f>
        <v>-178677352.42999998</v>
      </c>
      <c r="H74" s="224">
        <f>SUM(H72:H73)</f>
        <v>-9529900.7300000004</v>
      </c>
      <c r="J74" s="232"/>
    </row>
    <row r="75" spans="2:10" ht="11.25" customHeight="1">
      <c r="B75" s="228" t="s">
        <v>496</v>
      </c>
      <c r="C75" s="230" t="s">
        <v>497</v>
      </c>
      <c r="D75" s="226">
        <f>+D68+D74+D61+D57+D47</f>
        <v>1705613774</v>
      </c>
      <c r="E75" s="226">
        <v>1563016154</v>
      </c>
      <c r="F75" s="225" t="s">
        <v>498</v>
      </c>
      <c r="G75" s="226">
        <f>+G63+G69+G74</f>
        <v>3728322647.5700002</v>
      </c>
      <c r="H75" s="226">
        <f>+H63+H69+H74</f>
        <v>3376470099.27</v>
      </c>
    </row>
    <row r="76" spans="2:10" ht="11.25" customHeight="1">
      <c r="B76" s="228"/>
      <c r="C76" s="230" t="s">
        <v>499</v>
      </c>
      <c r="D76" s="227">
        <f>+D37+D75</f>
        <v>11737588990</v>
      </c>
      <c r="E76" s="227">
        <v>12722413800</v>
      </c>
      <c r="F76" s="225" t="s">
        <v>500</v>
      </c>
      <c r="G76" s="227">
        <f>+G58+G75</f>
        <v>11737588989.57</v>
      </c>
      <c r="H76" s="227">
        <f>+H58+H75</f>
        <v>12722413800.27</v>
      </c>
    </row>
    <row r="77" spans="2:10" s="640" customFormat="1">
      <c r="B77" s="640" t="s">
        <v>501</v>
      </c>
      <c r="D77" s="678">
        <f>D76-G76</f>
        <v>0.43000030517578125</v>
      </c>
      <c r="E77" s="678">
        <f>E76-H76</f>
        <v>-0.27000045776367188</v>
      </c>
      <c r="F77" s="679"/>
      <c r="G77" s="680"/>
      <c r="H77" s="680"/>
    </row>
    <row r="78" spans="2:10" s="615" customFormat="1" ht="11.25" customHeight="1">
      <c r="B78" s="615" t="s">
        <v>502</v>
      </c>
      <c r="D78" s="613">
        <f>+D76-G76</f>
        <v>0.43000030517578125</v>
      </c>
      <c r="E78" s="614">
        <f>+E76-H76</f>
        <v>-0.27000045776367188</v>
      </c>
      <c r="G78" s="616"/>
      <c r="H78" s="617"/>
    </row>
    <row r="79" spans="2:10" ht="11.25" customHeight="1">
      <c r="B79" s="228" t="s">
        <v>503</v>
      </c>
      <c r="C79" s="694" t="s">
        <v>504</v>
      </c>
      <c r="D79" s="694"/>
      <c r="E79" s="694"/>
      <c r="F79" s="694"/>
      <c r="G79" s="694"/>
      <c r="H79" s="694"/>
    </row>
    <row r="80" spans="2:10" ht="11.25" customHeight="1">
      <c r="B80" s="228"/>
      <c r="D80" s="232"/>
      <c r="G80" s="373"/>
      <c r="H80" s="373"/>
    </row>
    <row r="81" spans="2:8" ht="11.25" customHeight="1">
      <c r="B81" s="228" t="s">
        <v>505</v>
      </c>
      <c r="G81" s="373"/>
      <c r="H81" s="373"/>
    </row>
    <row r="82" spans="2:8" ht="11.25" customHeight="1">
      <c r="B82" s="228"/>
      <c r="G82" s="373"/>
      <c r="H82" s="373"/>
    </row>
    <row r="83" spans="2:8" ht="11.25" customHeight="1">
      <c r="B83" s="228"/>
      <c r="F83" s="28"/>
      <c r="G83" s="28"/>
      <c r="H83" s="28"/>
    </row>
    <row r="84" spans="2:8" ht="11.25" customHeight="1">
      <c r="B84" s="228"/>
    </row>
    <row r="85" spans="2:8" ht="11.25" customHeight="1">
      <c r="B85" s="228"/>
    </row>
    <row r="86" spans="2:8" ht="11.25" customHeight="1">
      <c r="B86" s="233">
        <v>2</v>
      </c>
    </row>
    <row r="87" spans="2:8" ht="11.25" customHeight="1">
      <c r="B87" s="234" t="s">
        <v>506</v>
      </c>
    </row>
    <row r="88" spans="2:8" ht="11.25" customHeight="1">
      <c r="B88" s="228" t="s">
        <v>507</v>
      </c>
      <c r="C88" s="235"/>
      <c r="D88" s="236"/>
      <c r="E88" s="236"/>
    </row>
    <row r="89" spans="2:8" ht="11.25" customHeight="1">
      <c r="B89" s="228" t="s">
        <v>508</v>
      </c>
    </row>
    <row r="90" spans="2:8" ht="11.25" customHeight="1">
      <c r="B90" s="228" t="s">
        <v>509</v>
      </c>
    </row>
    <row r="91" spans="2:8" ht="11.25" customHeight="1">
      <c r="B91" s="228"/>
    </row>
    <row r="92" spans="2:8" ht="11.25" customHeight="1">
      <c r="B92" s="228" t="s">
        <v>510</v>
      </c>
    </row>
    <row r="93" spans="2:8" ht="11.25" customHeight="1">
      <c r="B93" s="228" t="s">
        <v>511</v>
      </c>
    </row>
    <row r="94" spans="2:8" ht="11.25" customHeight="1">
      <c r="B94" s="228" t="s">
        <v>512</v>
      </c>
      <c r="G94" s="237"/>
    </row>
    <row r="95" spans="2:8" ht="11.25" customHeight="1">
      <c r="B95" s="228" t="s">
        <v>513</v>
      </c>
    </row>
    <row r="96" spans="2:8" ht="11.25" customHeight="1">
      <c r="B96" s="228"/>
    </row>
    <row r="97" spans="2:2" ht="11.25" customHeight="1">
      <c r="B97" s="228" t="s">
        <v>514</v>
      </c>
    </row>
    <row r="98" spans="2:2" ht="11.25" customHeight="1">
      <c r="B98" s="228" t="s">
        <v>515</v>
      </c>
    </row>
    <row r="99" spans="2:2" ht="11.25" customHeight="1">
      <c r="B99" s="228" t="s">
        <v>516</v>
      </c>
    </row>
    <row r="100" spans="2:2" ht="11.25" customHeight="1">
      <c r="B100" s="228" t="s">
        <v>517</v>
      </c>
    </row>
    <row r="101" spans="2:2" ht="11.25" customHeight="1">
      <c r="B101" s="228"/>
    </row>
    <row r="102" spans="2:2" ht="11.25" customHeight="1">
      <c r="B102" s="228" t="s">
        <v>518</v>
      </c>
    </row>
    <row r="103" spans="2:2" ht="11.25" customHeight="1">
      <c r="B103" s="228" t="s">
        <v>519</v>
      </c>
    </row>
    <row r="104" spans="2:2" ht="11.25" customHeight="1">
      <c r="B104" s="228"/>
    </row>
    <row r="105" spans="2:2" ht="11.25" customHeight="1">
      <c r="B105" s="228"/>
    </row>
    <row r="106" spans="2:2" ht="11.25" customHeight="1">
      <c r="B106" s="228"/>
    </row>
    <row r="107" spans="2:2" ht="11.25" customHeight="1">
      <c r="B107" s="228" t="s">
        <v>520</v>
      </c>
    </row>
    <row r="108" spans="2:2" ht="11.25" customHeight="1">
      <c r="B108" s="228"/>
    </row>
    <row r="109" spans="2:2" ht="11.25" customHeight="1">
      <c r="B109" s="228" t="s">
        <v>521</v>
      </c>
    </row>
    <row r="110" spans="2:2" ht="11.25" customHeight="1">
      <c r="B110" s="228" t="s">
        <v>522</v>
      </c>
    </row>
    <row r="111" spans="2:2" ht="11.25" customHeight="1">
      <c r="B111" s="228" t="s">
        <v>523</v>
      </c>
    </row>
    <row r="112" spans="2:2" ht="11.25" customHeight="1">
      <c r="B112" s="228"/>
    </row>
    <row r="113" spans="2:2" ht="11.25" customHeight="1">
      <c r="B113" s="228" t="s">
        <v>524</v>
      </c>
    </row>
    <row r="114" spans="2:2" ht="11.25" customHeight="1">
      <c r="B114" s="228" t="s">
        <v>525</v>
      </c>
    </row>
    <row r="115" spans="2:2" ht="11.25" customHeight="1">
      <c r="B115" s="228" t="s">
        <v>526</v>
      </c>
    </row>
    <row r="116" spans="2:2" ht="11.25" customHeight="1">
      <c r="B116" s="228"/>
    </row>
    <row r="117" spans="2:2" ht="11.25" customHeight="1">
      <c r="B117" s="228"/>
    </row>
    <row r="118" spans="2:2" ht="11.25" customHeight="1">
      <c r="B118" s="228"/>
    </row>
    <row r="119" spans="2:2" ht="11.25" customHeight="1">
      <c r="B119" s="228"/>
    </row>
    <row r="120" spans="2:2" ht="11.25" customHeight="1">
      <c r="B120" s="228"/>
    </row>
    <row r="121" spans="2:2" ht="11.25" customHeight="1">
      <c r="B121" s="228" t="s">
        <v>527</v>
      </c>
    </row>
    <row r="122" spans="2:2" ht="11.25" customHeight="1">
      <c r="B122" s="228" t="s">
        <v>528</v>
      </c>
    </row>
    <row r="123" spans="2:2" ht="11.25" customHeight="1">
      <c r="B123" s="228" t="s">
        <v>529</v>
      </c>
    </row>
    <row r="124" spans="2:2" ht="11.25" customHeight="1">
      <c r="B124" s="228" t="s">
        <v>530</v>
      </c>
    </row>
    <row r="125" spans="2:2" ht="11.25" customHeight="1">
      <c r="B125" s="228"/>
    </row>
    <row r="126" spans="2:2" ht="11.25" customHeight="1">
      <c r="B126" s="228" t="s">
        <v>531</v>
      </c>
    </row>
    <row r="127" spans="2:2" ht="11.25" customHeight="1">
      <c r="B127" s="228" t="s">
        <v>532</v>
      </c>
    </row>
    <row r="128" spans="2:2" ht="11.25" customHeight="1">
      <c r="B128" s="228" t="s">
        <v>533</v>
      </c>
    </row>
    <row r="129" spans="2:5" ht="11.25" customHeight="1">
      <c r="B129" s="228" t="s">
        <v>534</v>
      </c>
    </row>
    <row r="130" spans="2:5" ht="11.25" customHeight="1">
      <c r="B130" s="228" t="s">
        <v>535</v>
      </c>
    </row>
    <row r="131" spans="2:5" ht="11.25" customHeight="1">
      <c r="B131" s="228"/>
    </row>
    <row r="132" spans="2:5" ht="11.25" customHeight="1">
      <c r="B132" s="228" t="s">
        <v>536</v>
      </c>
    </row>
    <row r="133" spans="2:5" ht="11.25" customHeight="1">
      <c r="B133" s="228" t="s">
        <v>537</v>
      </c>
    </row>
    <row r="134" spans="2:5" ht="11.25" customHeight="1">
      <c r="B134" s="228" t="s">
        <v>538</v>
      </c>
    </row>
    <row r="135" spans="2:5" ht="11.25" customHeight="1">
      <c r="B135" s="228"/>
    </row>
    <row r="136" spans="2:5" ht="11.25" customHeight="1">
      <c r="B136" s="228"/>
    </row>
    <row r="137" spans="2:5" ht="11.25" customHeight="1">
      <c r="B137" s="228"/>
    </row>
    <row r="140" spans="2:5" ht="11.25" customHeight="1"/>
    <row r="141" spans="2:5" ht="11.25" customHeight="1">
      <c r="D141" s="238"/>
      <c r="E141" s="238"/>
    </row>
    <row r="142" spans="2:5">
      <c r="D142" s="239">
        <v>0</v>
      </c>
      <c r="E142" s="238">
        <v>0</v>
      </c>
    </row>
    <row r="144" spans="2:5" ht="11.25" customHeight="1"/>
    <row r="145" spans="4:4">
      <c r="D145" s="240"/>
    </row>
  </sheetData>
  <sheetProtection algorithmName="SHA-512" hashValue="7KfxDwQp0scvAPPXYBFRWMerRKG53cXbIO4DWO4QJcOFL//rarKFjURDSHCPrGhRHl2cxIxUyZbB45sGlHuRTQ==" saltValue="c749EY3iRyGr9v/7QzCUMg==" spinCount="100000" sheet="1" objects="1" scenarios="1"/>
  <mergeCells count="5">
    <mergeCell ref="C3:H3"/>
    <mergeCell ref="C4:H4"/>
    <mergeCell ref="C5:H5"/>
    <mergeCell ref="C6:H6"/>
    <mergeCell ref="C79:H79"/>
  </mergeCells>
  <hyperlinks>
    <hyperlink ref="C9" location="'NOTA D - DISPONIBILIDADES'!A1" display="DISPONIBILIDADES Nota 5 d" xr:uid="{28A90788-4383-4E09-BF1C-FC0B98607864}"/>
    <hyperlink ref="C16" location="'NOTA E - INVERSIONES'!A1" display="Inversiones Temporarias  Nota 5 e" xr:uid="{00B40298-6865-4A47-9B3F-F5D7D02048E5}"/>
    <hyperlink ref="C21" location="'NOTA F - CREDITOS'!A1" display="CREDITOS Nota 5 f" xr:uid="{694B7F0F-EDA9-440A-A3FE-5E683200C59A}"/>
    <hyperlink ref="C31" location="'NOTA H CARGOS DIFERIDOS'!A1" display="GASTOS NO DEVENGADOS - Nota 5 h" xr:uid="{107BC869-D38C-4D62-841D-3C75EB4F3185}"/>
    <hyperlink ref="C40" location="'NOTA E - INVERSIONES'!A1" display="INVERSIONES PERMANENTES Nota 5 e" xr:uid="{5C80EE75-D95B-43B1-8BF5-4D31AD19BCFC}"/>
    <hyperlink ref="C48" location="'NOTA F - CREDITOS'!A1" display="CREDITOS Nota 5 f" xr:uid="{F558B54E-1C0A-46BC-AEF7-4CDC154DC71C}"/>
    <hyperlink ref="C58" location="'NOTA G BIENES DE USO'!A1" display="BIENES DE USO Nota 5 g" xr:uid="{A9DD7D41-DDE6-44B7-8CC3-8B39D95B3E4C}"/>
    <hyperlink ref="C62" location="' NOTA I INTANGIBLES'!A1" display="ACTIVOS INTANGIBLES  Nota 5 i" xr:uid="{E052314B-39B3-4C7B-93C5-D57D3469BE53}"/>
    <hyperlink ref="C70" location="'NOTA J OTROS ACTIVOS CTES y NO '!A1" display="GASTOS NO DEVENGADOS - Nota 5 j" xr:uid="{147BFCD9-DB61-4B0E-B752-2FDF5A30E7F6}"/>
    <hyperlink ref="F11" location="'NOTA L ACREED VARIOS'!A1" display="Acreedores Varios  - Nota 5 l" xr:uid="{17455DD5-20EB-4E80-89C7-E96E71C70919}"/>
    <hyperlink ref="F16" location="'NOTA K PRESTAMOS'!A1" display="PRESTAMOS FINANCIEROS - Nota 5 k" xr:uid="{32EF0D70-99F2-4F79-BE19-7EB50F13FBB2}"/>
    <hyperlink ref="F41" location="'NOTA L ACREED VARIOS'!A1" display="Acreedores por Intermediación. Nota 5 m" xr:uid="{AA2CD520-1C3C-491B-BBD8-4F7F6C6A9689}"/>
    <hyperlink ref="F47" location="'NOTA K PRESTAMOS'!A1" display="PRESTAMOS FINANCIEROS - Nota 5 k" xr:uid="{34022F77-3EE0-444C-AE86-8387F46F12B5}"/>
    <hyperlink ref="F59" location="' NOTA T PATRIMONIO Y PREVIS'!A1" display="PATRIMONIO NETO  Nota 5 t" xr:uid="{A62031F0-643F-476A-AF65-654000B93C44}"/>
    <hyperlink ref="F10" location="'NOTAS M-Q ACREED y CTAS A PAG'!A1" display="Acreedores por Intermediación. Nota 5 m" xr:uid="{2D6AA5BA-EB0F-46AB-8189-B3B6AA64037B}"/>
    <hyperlink ref="F30" location="'NOTAS M-Q ACREED y CTAS A PAG'!A1" display="OTROS PASIVOS - Nota 5 q" xr:uid="{B839F5F7-D61D-473D-85AC-9A7666B5057D}"/>
    <hyperlink ref="F12" location="'NOTAS M-Q ACREED y CTAS A PAG'!A1" display="Cuentas por Pagar a Personas y Emp. Relacionadas. Nota o" xr:uid="{F5B9AC7D-2A22-415E-AAA0-66BB0744389E}"/>
    <hyperlink ref="F13" location="'NOTAS M-Q ACREED y CTAS A PAG'!A1" display="Obligaciones  por Contratos de Underwriting -Nota 5 p" xr:uid="{9CBDF50D-FD18-468D-B4C6-D71CA3060F75}"/>
    <hyperlink ref="F14" location="'NOTAS M-Q ACREED y CTAS A PAG'!A1" display="Obligaciones por Administracion de Carteras Nota 5 n" xr:uid="{515FE32E-9947-4436-9456-394D90325B2B}"/>
    <hyperlink ref="F42" location="'NOTA L ACREED VARIOS'!A1" display="Acreedores Varios  - Nota 5 l" xr:uid="{7E18E5D1-4E32-4A5F-BB5D-BABFA672E94D}"/>
    <hyperlink ref="F43" location="'NOTAS M-Q ACREED y CTAS A PAG'!A1" display="Cuentas por Pagar a Personas y Emp. Relacionadas. Nota o" xr:uid="{16579ACD-DC3B-4E00-B402-26F9ADBBA2F0}"/>
    <hyperlink ref="F44" location="'NOTAS M-Q ACREED y CTAS A PAG'!A1" display="Obligaciones  por Contratos de Underwriting -Nota 5 p" xr:uid="{D3A7E7C1-5002-48F0-B7D5-4FBC7D913A36}"/>
    <hyperlink ref="F45" location="'NOTAS M-Q ACREED y CTAS A PAG'!A1" display="Obligaciones por Administracion de Carteras Nota 5 n" xr:uid="{C9BDA752-BCAB-4313-90F8-DC961C834E1A}"/>
  </hyperlinks>
  <pageMargins left="1" right="1" top="1" bottom="1" header="0.5" footer="0.5"/>
  <pageSetup paperSize="9" scale="43" orientation="portrait" r:id="rId1"/>
  <headerFooter>
    <oddFooter>&amp;L&amp;"-,Cursiva"Las 25 notas que acompañan forman parte integrante de los Estados Financieros.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  <pageSetUpPr fitToPage="1"/>
  </sheetPr>
  <dimension ref="C1:J108"/>
  <sheetViews>
    <sheetView showGridLines="0" topLeftCell="C71" zoomScale="110" zoomScaleNormal="110" workbookViewId="0">
      <selection activeCell="C107" sqref="C107:F107"/>
    </sheetView>
  </sheetViews>
  <sheetFormatPr baseColWidth="10" defaultColWidth="11.42578125" defaultRowHeight="12"/>
  <cols>
    <col min="1" max="2" width="2.28515625" style="181" customWidth="1"/>
    <col min="3" max="3" width="50.7109375" style="181" customWidth="1"/>
    <col min="4" max="4" width="0.140625" style="181" customWidth="1"/>
    <col min="5" max="5" width="20.140625" style="181" customWidth="1"/>
    <col min="6" max="6" width="21.7109375" style="181" customWidth="1"/>
    <col min="7" max="7" width="14.28515625" style="181" bestFit="1" customWidth="1"/>
    <col min="8" max="8" width="16" style="238" bestFit="1" customWidth="1"/>
    <col min="9" max="9" width="12.85546875" style="181" bestFit="1" customWidth="1"/>
    <col min="10" max="10" width="16" style="181" bestFit="1" customWidth="1"/>
    <col min="11" max="16384" width="11.42578125" style="181"/>
  </cols>
  <sheetData>
    <row r="1" spans="3:8" ht="55.35" customHeight="1"/>
    <row r="3" spans="3:8" ht="9.75" customHeight="1">
      <c r="C3" s="684" t="str">
        <f>+INDICE!B2</f>
        <v>TRADERS PRO CASA DE BOLSA S.A.</v>
      </c>
      <c r="D3" s="684"/>
      <c r="E3" s="684"/>
      <c r="F3" s="684"/>
    </row>
    <row r="4" spans="3:8">
      <c r="C4" s="684" t="s">
        <v>539</v>
      </c>
      <c r="D4" s="684"/>
      <c r="E4" s="684"/>
      <c r="F4" s="684"/>
    </row>
    <row r="5" spans="3:8" ht="26.25" customHeight="1">
      <c r="C5" s="692" t="s">
        <v>540</v>
      </c>
      <c r="D5" s="692"/>
      <c r="E5" s="692"/>
      <c r="F5" s="692"/>
    </row>
    <row r="6" spans="3:8">
      <c r="C6" s="693" t="s">
        <v>541</v>
      </c>
      <c r="D6" s="693"/>
      <c r="E6" s="693"/>
      <c r="F6" s="693"/>
    </row>
    <row r="7" spans="3:8" ht="12.75" thickBot="1">
      <c r="C7" s="695"/>
      <c r="D7" s="695"/>
      <c r="E7" s="695"/>
      <c r="F7" s="695"/>
    </row>
    <row r="8" spans="3:8" ht="24.75" thickBot="1">
      <c r="C8" s="280"/>
      <c r="D8" s="281"/>
      <c r="E8" s="282" t="str">
        <f>+INDICE!G1</f>
        <v>PERIODO ACTUAL 31/12/ 2022</v>
      </c>
      <c r="F8" s="282" t="str">
        <f>+INDICE!H1</f>
        <v>PERIODO ANTERIOR 31/12/2021</v>
      </c>
    </row>
    <row r="9" spans="3:8">
      <c r="C9" s="395" t="s">
        <v>542</v>
      </c>
      <c r="D9" s="284"/>
      <c r="E9" s="327"/>
      <c r="F9" s="322"/>
    </row>
    <row r="10" spans="3:8">
      <c r="C10" s="283" t="s">
        <v>543</v>
      </c>
      <c r="D10" s="284"/>
      <c r="E10" s="285">
        <f>SUM(E11:E12)</f>
        <v>0</v>
      </c>
      <c r="F10" s="623">
        <v>0</v>
      </c>
    </row>
    <row r="11" spans="3:8">
      <c r="C11" s="286" t="s">
        <v>544</v>
      </c>
      <c r="D11" s="284"/>
      <c r="E11" s="287">
        <v>0</v>
      </c>
      <c r="F11" s="324">
        <v>0</v>
      </c>
    </row>
    <row r="12" spans="3:8">
      <c r="C12" s="286" t="s">
        <v>545</v>
      </c>
      <c r="D12" s="284"/>
      <c r="E12" s="287">
        <v>0</v>
      </c>
      <c r="F12" s="324">
        <v>0</v>
      </c>
    </row>
    <row r="13" spans="3:8">
      <c r="C13" s="286"/>
      <c r="D13" s="284"/>
      <c r="E13" s="287"/>
      <c r="F13" s="324"/>
    </row>
    <row r="14" spans="3:8" s="110" customFormat="1">
      <c r="C14" s="283" t="s">
        <v>546</v>
      </c>
      <c r="D14" s="284"/>
      <c r="E14" s="285">
        <f>+E15+E16</f>
        <v>82276870</v>
      </c>
      <c r="F14" s="623">
        <v>0</v>
      </c>
      <c r="H14" s="381">
        <f>E14+E26+E32+E81+E87</f>
        <v>945412912</v>
      </c>
    </row>
    <row r="15" spans="3:8">
      <c r="C15" s="286" t="s">
        <v>547</v>
      </c>
      <c r="D15" s="284"/>
      <c r="E15" s="287">
        <v>0</v>
      </c>
      <c r="F15" s="324">
        <v>0</v>
      </c>
    </row>
    <row r="16" spans="3:8">
      <c r="C16" s="286" t="s">
        <v>548</v>
      </c>
      <c r="D16" s="284"/>
      <c r="E16" s="287">
        <f>'[7]EERR 2022'!$B$5</f>
        <v>82276870</v>
      </c>
      <c r="F16" s="324">
        <v>0</v>
      </c>
    </row>
    <row r="17" spans="3:9">
      <c r="C17" s="286"/>
      <c r="D17" s="284"/>
      <c r="E17" s="287"/>
      <c r="F17" s="324"/>
    </row>
    <row r="18" spans="3:9" s="110" customFormat="1">
      <c r="C18" s="283" t="s">
        <v>549</v>
      </c>
      <c r="D18" s="284"/>
      <c r="E18" s="285">
        <f>+E19+E20</f>
        <v>0</v>
      </c>
      <c r="F18" s="323">
        <v>42973451</v>
      </c>
      <c r="H18" s="381"/>
    </row>
    <row r="19" spans="3:9">
      <c r="C19" s="286" t="s">
        <v>550</v>
      </c>
      <c r="D19" s="284"/>
      <c r="E19" s="287">
        <v>0</v>
      </c>
      <c r="F19" s="324">
        <v>0</v>
      </c>
    </row>
    <row r="20" spans="3:9">
      <c r="C20" s="286" t="s">
        <v>551</v>
      </c>
      <c r="D20" s="284"/>
      <c r="E20" s="287">
        <v>0</v>
      </c>
      <c r="F20" s="324">
        <v>42973451</v>
      </c>
    </row>
    <row r="21" spans="3:9">
      <c r="C21" s="286"/>
      <c r="D21" s="284"/>
      <c r="E21" s="287"/>
      <c r="F21" s="324"/>
    </row>
    <row r="22" spans="3:9">
      <c r="C22" s="283" t="s">
        <v>552</v>
      </c>
      <c r="D22" s="284"/>
      <c r="E22" s="287">
        <v>0</v>
      </c>
      <c r="F22" s="324">
        <v>0</v>
      </c>
    </row>
    <row r="23" spans="3:9">
      <c r="C23" s="283" t="s">
        <v>553</v>
      </c>
      <c r="D23" s="284"/>
      <c r="E23" s="285">
        <v>0</v>
      </c>
      <c r="F23" s="324">
        <v>0</v>
      </c>
    </row>
    <row r="24" spans="3:9">
      <c r="C24" s="283" t="s">
        <v>554</v>
      </c>
      <c r="D24" s="284"/>
      <c r="E24" s="285">
        <v>0</v>
      </c>
      <c r="F24" s="323">
        <v>0</v>
      </c>
    </row>
    <row r="25" spans="3:9">
      <c r="C25" s="283" t="s">
        <v>555</v>
      </c>
      <c r="D25" s="284"/>
      <c r="E25" s="285">
        <v>0</v>
      </c>
      <c r="F25" s="323"/>
    </row>
    <row r="26" spans="3:9">
      <c r="C26" s="283" t="s">
        <v>556</v>
      </c>
      <c r="D26" s="284"/>
      <c r="E26" s="285">
        <f>'[7]EERR 2022'!$B$11-'[7]EERR 2022'!$B$30</f>
        <v>-79233156</v>
      </c>
      <c r="F26" s="623">
        <v>0</v>
      </c>
      <c r="G26" s="237"/>
      <c r="I26" s="237"/>
    </row>
    <row r="27" spans="3:9">
      <c r="C27" s="283" t="s">
        <v>557</v>
      </c>
      <c r="D27" s="284"/>
      <c r="E27" s="285">
        <v>0</v>
      </c>
      <c r="F27" s="324">
        <v>0</v>
      </c>
    </row>
    <row r="28" spans="3:9">
      <c r="C28" s="283" t="s">
        <v>558</v>
      </c>
      <c r="D28" s="284"/>
      <c r="E28" s="287">
        <v>0</v>
      </c>
      <c r="F28" s="324">
        <v>0</v>
      </c>
    </row>
    <row r="29" spans="3:9">
      <c r="C29" s="286"/>
      <c r="E29" s="287"/>
      <c r="F29" s="324">
        <v>0</v>
      </c>
      <c r="G29" s="238"/>
    </row>
    <row r="30" spans="3:9">
      <c r="C30" s="283" t="s">
        <v>559</v>
      </c>
      <c r="D30" s="284"/>
      <c r="E30" s="287">
        <v>0</v>
      </c>
      <c r="F30" s="324">
        <v>21281385</v>
      </c>
      <c r="I30" s="238"/>
    </row>
    <row r="31" spans="3:9">
      <c r="C31" s="283"/>
      <c r="D31" s="284"/>
      <c r="E31" s="327"/>
      <c r="F31" s="324">
        <v>0</v>
      </c>
      <c r="I31" s="238"/>
    </row>
    <row r="32" spans="3:9">
      <c r="C32" s="283" t="s">
        <v>143</v>
      </c>
      <c r="D32" s="284"/>
      <c r="E32" s="285">
        <f>+E33+E34+E35</f>
        <v>1096135</v>
      </c>
      <c r="F32" s="623">
        <v>0</v>
      </c>
    </row>
    <row r="33" spans="3:10">
      <c r="C33" s="286" t="s">
        <v>560</v>
      </c>
      <c r="D33" s="284"/>
      <c r="E33" s="285">
        <v>0</v>
      </c>
      <c r="F33" s="323"/>
    </row>
    <row r="34" spans="3:10">
      <c r="C34" s="288" t="s">
        <v>561</v>
      </c>
      <c r="D34" s="240"/>
      <c r="E34" s="287">
        <v>0</v>
      </c>
      <c r="F34" s="324">
        <v>0</v>
      </c>
    </row>
    <row r="35" spans="3:10">
      <c r="C35" s="288" t="s">
        <v>562</v>
      </c>
      <c r="D35" s="240"/>
      <c r="E35" s="287">
        <f>'[7]EERR 2022'!$B$22</f>
        <v>1096135</v>
      </c>
      <c r="F35" s="324"/>
      <c r="I35" s="293"/>
      <c r="J35" s="237"/>
    </row>
    <row r="36" spans="3:10">
      <c r="C36" s="286"/>
      <c r="D36" s="240"/>
      <c r="E36" s="287"/>
      <c r="F36" s="324">
        <v>0</v>
      </c>
      <c r="I36" s="231"/>
      <c r="J36" s="237"/>
    </row>
    <row r="37" spans="3:10">
      <c r="C37" s="395" t="s">
        <v>563</v>
      </c>
      <c r="D37" s="240"/>
      <c r="E37" s="285">
        <f>SUM(E38:E40)</f>
        <v>59648837</v>
      </c>
      <c r="F37" s="623">
        <v>0</v>
      </c>
      <c r="I37" s="293"/>
      <c r="J37" s="237"/>
    </row>
    <row r="38" spans="3:10">
      <c r="C38" s="286" t="s">
        <v>564</v>
      </c>
      <c r="D38" s="240"/>
      <c r="E38" s="287">
        <v>0</v>
      </c>
      <c r="F38" s="324">
        <v>0</v>
      </c>
    </row>
    <row r="39" spans="3:10">
      <c r="C39" s="286" t="s">
        <v>565</v>
      </c>
      <c r="D39" s="240"/>
      <c r="E39" s="287">
        <v>0</v>
      </c>
      <c r="F39" s="324">
        <v>0</v>
      </c>
    </row>
    <row r="40" spans="3:10">
      <c r="C40" s="286" t="s">
        <v>566</v>
      </c>
      <c r="D40" s="240"/>
      <c r="E40" s="287">
        <f>'[7]EERR 2022'!$B$35</f>
        <v>59648837</v>
      </c>
      <c r="F40" s="324"/>
      <c r="I40" s="232"/>
    </row>
    <row r="41" spans="3:10">
      <c r="C41" s="289" t="s">
        <v>567</v>
      </c>
      <c r="D41" s="290"/>
      <c r="E41" s="328">
        <f>+E10+E24+E25+E32-E37+E26+E27+E14+E18</f>
        <v>-55508988</v>
      </c>
      <c r="F41" s="624">
        <v>29220036</v>
      </c>
    </row>
    <row r="42" spans="3:10">
      <c r="C42" s="286"/>
      <c r="D42" s="240"/>
      <c r="E42" s="287"/>
      <c r="F42" s="322">
        <v>0</v>
      </c>
      <c r="G42" s="240"/>
      <c r="I42" s="237"/>
      <c r="J42" s="244"/>
    </row>
    <row r="43" spans="3:10">
      <c r="C43" s="291" t="s">
        <v>568</v>
      </c>
      <c r="D43" s="284"/>
      <c r="E43" s="285">
        <f>SUM(E44:E46)</f>
        <v>10914028</v>
      </c>
      <c r="F43" s="325">
        <v>0</v>
      </c>
      <c r="G43" s="237"/>
    </row>
    <row r="44" spans="3:10">
      <c r="C44" s="288" t="s">
        <v>569</v>
      </c>
      <c r="D44" s="284"/>
      <c r="E44" s="287">
        <f>[7]!Tabla2[[#This Row],[31 12 2022]]</f>
        <v>10914028</v>
      </c>
      <c r="F44" s="322">
        <v>0</v>
      </c>
      <c r="G44" s="237"/>
    </row>
    <row r="45" spans="3:10">
      <c r="C45" s="288" t="s">
        <v>570</v>
      </c>
      <c r="D45" s="284"/>
      <c r="E45" s="287">
        <v>0</v>
      </c>
      <c r="F45" s="322">
        <v>0</v>
      </c>
      <c r="G45" s="237"/>
    </row>
    <row r="46" spans="3:10">
      <c r="C46" s="288" t="s">
        <v>571</v>
      </c>
      <c r="D46" s="284"/>
      <c r="E46" s="287">
        <v>0</v>
      </c>
      <c r="F46" s="322">
        <v>0</v>
      </c>
      <c r="G46" s="237"/>
    </row>
    <row r="47" spans="3:10">
      <c r="C47" s="288"/>
      <c r="D47" s="240"/>
      <c r="E47" s="287"/>
      <c r="F47" s="322"/>
      <c r="G47" s="237"/>
    </row>
    <row r="48" spans="3:10" ht="15">
      <c r="C48" s="291" t="s">
        <v>166</v>
      </c>
      <c r="D48" s="284"/>
      <c r="E48" s="285">
        <f>E49+E56+E58</f>
        <v>875231058</v>
      </c>
      <c r="F48" s="623">
        <v>339217644</v>
      </c>
      <c r="G48" s="240"/>
      <c r="H48" s="415"/>
      <c r="I48" s="622"/>
    </row>
    <row r="49" spans="3:9" s="648" customFormat="1" ht="15">
      <c r="C49" s="433" t="s">
        <v>167</v>
      </c>
      <c r="D49" s="434"/>
      <c r="E49" s="435">
        <v>132556999</v>
      </c>
      <c r="F49" s="642">
        <v>9557107</v>
      </c>
      <c r="G49" s="434"/>
      <c r="H49" s="646"/>
      <c r="I49" s="647"/>
    </row>
    <row r="50" spans="3:9" ht="15">
      <c r="C50" s="288" t="s">
        <v>168</v>
      </c>
      <c r="D50" s="240"/>
      <c r="E50" s="287">
        <v>96718509</v>
      </c>
      <c r="F50" s="322">
        <v>3850000</v>
      </c>
      <c r="G50" s="240"/>
      <c r="H50"/>
      <c r="I50" s="621"/>
    </row>
    <row r="51" spans="3:9" ht="15">
      <c r="C51" s="288" t="s">
        <v>169</v>
      </c>
      <c r="D51" s="240"/>
      <c r="E51" s="287">
        <v>15958556</v>
      </c>
      <c r="F51" s="322">
        <v>635250</v>
      </c>
      <c r="G51" s="240"/>
      <c r="H51"/>
      <c r="I51" s="621"/>
    </row>
    <row r="52" spans="3:9" ht="15">
      <c r="C52" s="288" t="s">
        <v>170</v>
      </c>
      <c r="D52" s="240"/>
      <c r="E52" s="287">
        <v>7145480</v>
      </c>
      <c r="F52" s="322">
        <v>1114660</v>
      </c>
      <c r="G52" s="240"/>
      <c r="H52"/>
      <c r="I52" s="621"/>
    </row>
    <row r="53" spans="3:9" ht="15">
      <c r="C53" s="288" t="s">
        <v>171</v>
      </c>
      <c r="D53" s="240"/>
      <c r="E53" s="287">
        <v>8059876</v>
      </c>
      <c r="F53" s="322">
        <v>320833</v>
      </c>
      <c r="G53" s="240"/>
      <c r="H53" s="415"/>
      <c r="I53" s="622"/>
    </row>
    <row r="54" spans="3:9" ht="15">
      <c r="C54" s="288" t="s">
        <v>172</v>
      </c>
      <c r="D54" s="240"/>
      <c r="E54" s="287">
        <v>3222760</v>
      </c>
      <c r="F54" s="322">
        <v>3636364</v>
      </c>
      <c r="G54" s="240"/>
      <c r="H54"/>
      <c r="I54" s="621"/>
    </row>
    <row r="55" spans="3:9" s="110" customFormat="1" ht="15">
      <c r="C55" s="288" t="s">
        <v>173</v>
      </c>
      <c r="D55" s="240"/>
      <c r="E55" s="287">
        <v>1451818</v>
      </c>
      <c r="F55" s="322">
        <v>0</v>
      </c>
      <c r="G55" s="284"/>
      <c r="H55" s="415"/>
      <c r="I55" s="622"/>
    </row>
    <row r="56" spans="3:9" s="645" customFormat="1" ht="15">
      <c r="C56" s="433" t="s">
        <v>174</v>
      </c>
      <c r="D56" s="436"/>
      <c r="E56" s="435">
        <v>605833338</v>
      </c>
      <c r="F56" s="642">
        <v>381818</v>
      </c>
      <c r="G56" s="436"/>
      <c r="H56" s="643"/>
      <c r="I56" s="644"/>
    </row>
    <row r="57" spans="3:9" s="383" customFormat="1" ht="15">
      <c r="C57" s="288" t="s">
        <v>175</v>
      </c>
      <c r="D57" s="284"/>
      <c r="E57" s="287">
        <v>605833338</v>
      </c>
      <c r="F57" s="322">
        <v>0</v>
      </c>
      <c r="G57" s="382"/>
      <c r="H57"/>
      <c r="I57" s="621"/>
    </row>
    <row r="58" spans="3:9" s="645" customFormat="1" ht="15">
      <c r="C58" s="433" t="s">
        <v>176</v>
      </c>
      <c r="D58" s="436"/>
      <c r="E58" s="435">
        <v>136840721</v>
      </c>
      <c r="F58" s="642">
        <v>329278719</v>
      </c>
      <c r="G58" s="436"/>
      <c r="H58" s="643"/>
      <c r="I58" s="644"/>
    </row>
    <row r="59" spans="3:9" ht="15">
      <c r="C59" s="288" t="s">
        <v>177</v>
      </c>
      <c r="D59" s="240"/>
      <c r="E59" s="287">
        <v>6481911</v>
      </c>
      <c r="F59" s="322">
        <v>264353032</v>
      </c>
      <c r="G59" s="240"/>
      <c r="H59"/>
      <c r="I59" s="621"/>
    </row>
    <row r="60" spans="3:9" ht="15">
      <c r="C60" s="288" t="s">
        <v>178</v>
      </c>
      <c r="D60" s="240"/>
      <c r="E60" s="287">
        <v>103293773</v>
      </c>
      <c r="F60" s="322">
        <v>34008717</v>
      </c>
      <c r="G60" s="240"/>
      <c r="H60"/>
      <c r="I60" s="621"/>
    </row>
    <row r="61" spans="3:9" ht="15">
      <c r="C61" s="288" t="s">
        <v>179</v>
      </c>
      <c r="D61" s="240"/>
      <c r="E61" s="287">
        <v>2209092</v>
      </c>
      <c r="F61" s="322">
        <v>245455</v>
      </c>
      <c r="G61" s="240"/>
      <c r="H61"/>
      <c r="I61" s="621"/>
    </row>
    <row r="62" spans="3:9" ht="15">
      <c r="C62" s="288" t="s">
        <v>180</v>
      </c>
      <c r="D62" s="240"/>
      <c r="E62" s="287">
        <v>13210480</v>
      </c>
      <c r="F62" s="322">
        <v>1123376</v>
      </c>
      <c r="G62" s="240"/>
      <c r="H62"/>
      <c r="I62" s="621"/>
    </row>
    <row r="63" spans="3:9" ht="15">
      <c r="C63" s="288" t="s">
        <v>181</v>
      </c>
      <c r="D63" s="240"/>
      <c r="E63" s="287">
        <v>425362</v>
      </c>
      <c r="F63" s="322">
        <v>0</v>
      </c>
      <c r="G63" s="240"/>
      <c r="H63"/>
      <c r="I63" s="621"/>
    </row>
    <row r="64" spans="3:9" ht="15">
      <c r="C64" s="288" t="s">
        <v>182</v>
      </c>
      <c r="D64" s="240"/>
      <c r="E64" s="287">
        <v>211956</v>
      </c>
      <c r="F64" s="322">
        <v>0</v>
      </c>
      <c r="G64" s="240"/>
      <c r="H64"/>
      <c r="I64" s="621"/>
    </row>
    <row r="65" spans="3:9" ht="15">
      <c r="C65" s="288" t="s">
        <v>183</v>
      </c>
      <c r="D65" s="240"/>
      <c r="E65" s="287">
        <v>1423955</v>
      </c>
      <c r="F65" s="322">
        <v>0</v>
      </c>
      <c r="G65" s="240"/>
      <c r="H65"/>
      <c r="I65" s="621"/>
    </row>
    <row r="66" spans="3:9" ht="15">
      <c r="C66" s="288" t="s">
        <v>184</v>
      </c>
      <c r="D66" s="240"/>
      <c r="E66" s="287">
        <v>1090909</v>
      </c>
      <c r="F66" s="322">
        <v>909092</v>
      </c>
      <c r="G66" s="240"/>
      <c r="H66"/>
      <c r="I66" s="621"/>
    </row>
    <row r="67" spans="3:9" ht="15">
      <c r="C67" s="288" t="s">
        <v>185</v>
      </c>
      <c r="D67" s="240"/>
      <c r="E67" s="287">
        <v>510364</v>
      </c>
      <c r="F67" s="322">
        <v>2429046</v>
      </c>
      <c r="G67" s="240"/>
      <c r="H67"/>
      <c r="I67" s="621"/>
    </row>
    <row r="68" spans="3:9" ht="15">
      <c r="C68" s="288" t="s">
        <v>186</v>
      </c>
      <c r="D68" s="240"/>
      <c r="E68" s="287">
        <v>492688</v>
      </c>
      <c r="F68" s="322">
        <v>0</v>
      </c>
      <c r="G68" s="240"/>
      <c r="H68"/>
      <c r="I68" s="641"/>
    </row>
    <row r="69" spans="3:9" ht="15">
      <c r="C69" s="466" t="s">
        <v>187</v>
      </c>
      <c r="D69" s="467"/>
      <c r="E69" s="468">
        <v>160000</v>
      </c>
      <c r="F69" s="322">
        <v>0</v>
      </c>
      <c r="G69" s="240"/>
      <c r="H69"/>
      <c r="I69" s="621"/>
    </row>
    <row r="70" spans="3:9" ht="15">
      <c r="C70" s="288" t="s">
        <v>188</v>
      </c>
      <c r="D70" s="240"/>
      <c r="E70" s="287">
        <v>1122506</v>
      </c>
      <c r="F70" s="322">
        <v>472727</v>
      </c>
      <c r="G70" s="240"/>
      <c r="H70" s="415"/>
      <c r="I70" s="622"/>
    </row>
    <row r="71" spans="3:9" ht="15">
      <c r="C71" s="288" t="s">
        <v>189</v>
      </c>
      <c r="D71" s="240"/>
      <c r="E71" s="287">
        <v>4489001</v>
      </c>
      <c r="F71" s="322">
        <v>3897318</v>
      </c>
      <c r="G71" s="240"/>
      <c r="H71"/>
      <c r="I71" s="621"/>
    </row>
    <row r="72" spans="3:9" ht="15">
      <c r="C72" s="288" t="s">
        <v>190</v>
      </c>
      <c r="D72" s="240"/>
      <c r="E72" s="287">
        <v>96156</v>
      </c>
      <c r="F72" s="322">
        <v>0</v>
      </c>
      <c r="G72" s="240"/>
      <c r="H72"/>
      <c r="I72" s="621"/>
    </row>
    <row r="73" spans="3:9" s="645" customFormat="1" ht="15">
      <c r="C73" s="433" t="s">
        <v>191</v>
      </c>
      <c r="D73" s="436"/>
      <c r="E73" s="435">
        <v>1622568</v>
      </c>
      <c r="F73" s="642">
        <v>2184405</v>
      </c>
      <c r="G73" s="436"/>
      <c r="H73" s="643"/>
      <c r="I73" s="644"/>
    </row>
    <row r="74" spans="3:9" ht="15">
      <c r="C74" s="288" t="s">
        <v>192</v>
      </c>
      <c r="D74" s="240"/>
      <c r="E74" s="287">
        <v>22568</v>
      </c>
      <c r="F74" s="322">
        <v>410700</v>
      </c>
      <c r="G74" s="240"/>
      <c r="H74"/>
      <c r="I74" s="621"/>
    </row>
    <row r="75" spans="3:9" ht="15">
      <c r="C75" s="288" t="s">
        <v>193</v>
      </c>
      <c r="D75" s="240"/>
      <c r="E75" s="287">
        <v>1600000</v>
      </c>
      <c r="F75" s="322">
        <v>1723250</v>
      </c>
      <c r="G75" s="240"/>
      <c r="H75"/>
      <c r="I75" s="621"/>
    </row>
    <row r="76" spans="3:9" ht="15">
      <c r="C76" s="288"/>
      <c r="D76" s="240"/>
      <c r="E76" s="287"/>
      <c r="F76" s="322"/>
      <c r="G76" s="240"/>
      <c r="H76"/>
      <c r="I76" s="621"/>
    </row>
    <row r="77" spans="3:9" ht="15">
      <c r="C77" s="288"/>
      <c r="D77" s="240"/>
      <c r="E77" s="287"/>
      <c r="F77" s="322"/>
      <c r="G77" s="240"/>
      <c r="H77"/>
      <c r="I77" s="621"/>
    </row>
    <row r="78" spans="3:9">
      <c r="C78" s="289" t="s">
        <v>572</v>
      </c>
      <c r="D78" s="290"/>
      <c r="E78" s="328">
        <f>+E41-E43-E48</f>
        <v>-941654074</v>
      </c>
      <c r="F78" s="624">
        <f>+F41-F43-F48</f>
        <v>-309997608</v>
      </c>
    </row>
    <row r="79" spans="3:9">
      <c r="C79" s="288"/>
      <c r="D79" s="240"/>
      <c r="E79" s="287"/>
      <c r="F79" s="322">
        <v>0</v>
      </c>
    </row>
    <row r="80" spans="3:9">
      <c r="C80" s="396" t="s">
        <v>573</v>
      </c>
      <c r="D80" s="284"/>
      <c r="E80" s="285">
        <f>+E81+E82</f>
        <v>380513547</v>
      </c>
      <c r="F80" s="623">
        <v>126407905</v>
      </c>
    </row>
    <row r="81" spans="3:9">
      <c r="C81" s="288" t="s">
        <v>562</v>
      </c>
      <c r="D81" s="284"/>
      <c r="E81" s="287">
        <f>'[7]EERR 2022'!$B$25-1</f>
        <v>380513547</v>
      </c>
      <c r="F81" s="322">
        <v>126407905</v>
      </c>
    </row>
    <row r="82" spans="3:9">
      <c r="C82" s="288" t="s">
        <v>574</v>
      </c>
      <c r="D82" s="284"/>
      <c r="E82" s="287">
        <v>0</v>
      </c>
      <c r="F82" s="325">
        <v>0</v>
      </c>
    </row>
    <row r="83" spans="3:9">
      <c r="C83" s="291"/>
      <c r="D83" s="240"/>
      <c r="E83" s="287"/>
      <c r="F83" s="322"/>
    </row>
    <row r="84" spans="3:9">
      <c r="C84" s="396" t="s">
        <v>575</v>
      </c>
      <c r="D84" s="240"/>
      <c r="E84" s="285">
        <f>+E86+E89</f>
        <v>412189356</v>
      </c>
      <c r="F84" s="623">
        <v>168456577</v>
      </c>
      <c r="G84" s="245"/>
      <c r="H84" s="246"/>
      <c r="I84" s="246"/>
    </row>
    <row r="85" spans="3:9">
      <c r="C85" s="291"/>
      <c r="D85" s="240"/>
      <c r="E85" s="285"/>
      <c r="F85" s="325"/>
    </row>
    <row r="86" spans="3:9">
      <c r="C86" s="291" t="s">
        <v>576</v>
      </c>
      <c r="D86" s="240"/>
      <c r="E86" s="285">
        <f>SUM(E87:E88)</f>
        <v>589172688</v>
      </c>
      <c r="F86" s="623">
        <v>234434084</v>
      </c>
      <c r="G86" s="237"/>
    </row>
    <row r="87" spans="3:9">
      <c r="C87" s="288" t="s">
        <v>577</v>
      </c>
      <c r="D87" s="240"/>
      <c r="E87" s="287">
        <f>'[7]EERR 2022'!$B$14</f>
        <v>560759516</v>
      </c>
      <c r="F87" s="322">
        <v>234434084</v>
      </c>
      <c r="G87" s="237"/>
    </row>
    <row r="88" spans="3:9">
      <c r="C88" s="288" t="s">
        <v>578</v>
      </c>
      <c r="D88" s="240"/>
      <c r="E88" s="287">
        <f>-'[7]EERR 2022'!$B$80</f>
        <v>28413172</v>
      </c>
      <c r="F88" s="322">
        <v>0</v>
      </c>
      <c r="G88" s="237"/>
    </row>
    <row r="89" spans="3:9">
      <c r="C89" s="291" t="s">
        <v>579</v>
      </c>
      <c r="D89" s="240"/>
      <c r="E89" s="285">
        <f>SUM(E90:E91)*-1</f>
        <v>-176983332</v>
      </c>
      <c r="F89" s="623">
        <v>-65977507</v>
      </c>
    </row>
    <row r="90" spans="3:9">
      <c r="C90" s="288" t="s">
        <v>580</v>
      </c>
      <c r="D90" s="240"/>
      <c r="E90" s="287">
        <f>'[7]EERR 2022'!$B$73</f>
        <v>146034573</v>
      </c>
      <c r="F90" s="322">
        <v>65924255</v>
      </c>
    </row>
    <row r="91" spans="3:9">
      <c r="C91" s="288" t="s">
        <v>578</v>
      </c>
      <c r="D91" s="240"/>
      <c r="E91" s="287">
        <f>'[7]EERR 2022'!$B$81</f>
        <v>30948759</v>
      </c>
      <c r="F91" s="322">
        <v>53252</v>
      </c>
    </row>
    <row r="92" spans="3:9">
      <c r="C92" s="288"/>
      <c r="D92" s="240"/>
      <c r="E92" s="287"/>
      <c r="F92" s="322"/>
    </row>
    <row r="93" spans="3:9">
      <c r="C93" s="395" t="s">
        <v>581</v>
      </c>
      <c r="D93" s="284"/>
      <c r="E93" s="285">
        <f>+E94-E95</f>
        <v>-20196280</v>
      </c>
      <c r="F93" s="325">
        <v>0</v>
      </c>
    </row>
    <row r="94" spans="3:9">
      <c r="C94" s="286" t="s">
        <v>582</v>
      </c>
      <c r="D94" s="240"/>
      <c r="E94" s="287">
        <v>0</v>
      </c>
      <c r="F94" s="322">
        <v>0</v>
      </c>
    </row>
    <row r="95" spans="3:9">
      <c r="C95" s="286" t="s">
        <v>583</v>
      </c>
      <c r="D95" s="240"/>
      <c r="E95" s="287">
        <f>'[7]EERR 2022'!$B$82</f>
        <v>20196280</v>
      </c>
      <c r="F95" s="322">
        <v>0</v>
      </c>
      <c r="G95" s="237"/>
    </row>
    <row r="96" spans="3:9">
      <c r="C96" s="286"/>
      <c r="D96" s="240"/>
      <c r="E96" s="287"/>
      <c r="F96" s="322"/>
    </row>
    <row r="97" spans="3:8">
      <c r="C97" s="283" t="s">
        <v>584</v>
      </c>
      <c r="D97" s="284"/>
      <c r="E97" s="285">
        <v>0</v>
      </c>
      <c r="F97" s="325">
        <v>0</v>
      </c>
    </row>
    <row r="98" spans="3:8">
      <c r="C98" s="286" t="s">
        <v>124</v>
      </c>
      <c r="D98" s="240"/>
      <c r="E98" s="287">
        <v>0</v>
      </c>
      <c r="F98" s="322">
        <v>0</v>
      </c>
      <c r="G98" s="237"/>
    </row>
    <row r="99" spans="3:8">
      <c r="C99" s="286" t="s">
        <v>585</v>
      </c>
      <c r="D99" s="240"/>
      <c r="E99" s="287">
        <v>0</v>
      </c>
      <c r="F99" s="322"/>
      <c r="G99" s="240"/>
    </row>
    <row r="100" spans="3:8">
      <c r="C100" s="286"/>
      <c r="D100" s="240"/>
      <c r="E100" s="287"/>
      <c r="F100" s="322"/>
    </row>
    <row r="101" spans="3:8">
      <c r="C101" s="289" t="s">
        <v>586</v>
      </c>
      <c r="D101" s="290"/>
      <c r="E101" s="328">
        <f>+E78+E84+E93+E97+E80</f>
        <v>-169147451</v>
      </c>
      <c r="F101" s="624">
        <v>-9318362</v>
      </c>
    </row>
    <row r="102" spans="3:8">
      <c r="C102" s="286"/>
      <c r="D102" s="240"/>
      <c r="E102" s="287"/>
      <c r="F102" s="322"/>
    </row>
    <row r="103" spans="3:8" ht="9.75" customHeight="1">
      <c r="C103" s="283" t="s">
        <v>587</v>
      </c>
      <c r="D103" s="284"/>
      <c r="E103" s="287">
        <v>0</v>
      </c>
      <c r="F103" s="322">
        <v>211539</v>
      </c>
    </row>
    <row r="104" spans="3:8">
      <c r="C104" s="312" t="s">
        <v>481</v>
      </c>
      <c r="D104" s="292"/>
      <c r="E104" s="287">
        <v>0</v>
      </c>
      <c r="F104" s="326">
        <v>0</v>
      </c>
    </row>
    <row r="105" spans="3:8" ht="12.75" thickBot="1">
      <c r="C105" s="313" t="s">
        <v>494</v>
      </c>
      <c r="D105" s="314"/>
      <c r="E105" s="329">
        <f>+E101-E103-E104</f>
        <v>-169147451</v>
      </c>
      <c r="F105" s="625">
        <f>+F101-F103-F104</f>
        <v>-9529901</v>
      </c>
    </row>
    <row r="106" spans="3:8">
      <c r="C106" s="110"/>
      <c r="D106" s="284"/>
      <c r="E106" s="681">
        <f>+E105-'BALANCE GRAL 31 12 22'!G73</f>
        <v>-0.30000001192092896</v>
      </c>
      <c r="F106" s="681">
        <f>+F105-'BALANCE GRAL 31 12 22'!H74</f>
        <v>-0.26999999955296516</v>
      </c>
    </row>
    <row r="107" spans="3:8">
      <c r="C107" s="694" t="s">
        <v>504</v>
      </c>
      <c r="D107" s="694"/>
      <c r="E107" s="694"/>
      <c r="F107" s="694"/>
      <c r="G107" s="398"/>
      <c r="H107" s="398"/>
    </row>
    <row r="108" spans="3:8">
      <c r="E108" s="231"/>
    </row>
  </sheetData>
  <sheetProtection algorithmName="SHA-512" hashValue="qYTQ/I2HkymjAJm4hDFpM7+GzIk7aKUMUbDQ73UqKclGO6rT52EwVolV2mEiKn9RoWtOLGCyn89JAQBkgow/3g==" saltValue="qQ23viaiVvR2mRkGiNUvqg==" spinCount="100000" sheet="1" objects="1" scenarios="1"/>
  <mergeCells count="5">
    <mergeCell ref="C107:F107"/>
    <mergeCell ref="C6:F7"/>
    <mergeCell ref="C3:F3"/>
    <mergeCell ref="C4:F4"/>
    <mergeCell ref="C5:F5"/>
  </mergeCells>
  <phoneticPr fontId="56" type="noConversion"/>
  <hyperlinks>
    <hyperlink ref="C9" location="'NOTA V INGRESOS OPERATIVOS'!A1" display="Ingresos Operativos -Nota v" xr:uid="{AEE4CBE5-BF6D-4EA7-B3A3-838CCBE0524A}"/>
    <hyperlink ref="C37" location="'NOTA W OTROS GASTOS OPER'!A1" display="Gastos Operativos -Nota w" xr:uid="{0A0B1390-C908-4825-B638-BC693BD1FE19}"/>
    <hyperlink ref="C80" location="'NOTA X OTROS INGRESOS Y EGR'!A1" display="Otros ingresos y Egresos - Nota x" xr:uid="{21591C9D-117F-4576-B1E4-1D3993B02AE3}"/>
    <hyperlink ref="C84" location="'NOTA Y RESULTADOS FINANC'!A1" display="Resultados financieros - Nota y" xr:uid="{129BFF9B-47A8-47CD-81C6-4A84D3C21EF0}"/>
    <hyperlink ref="C93" location="'NOTA Z RESULT EXTRA'!A1" display="Resultados  extraordinarias Nota Z" xr:uid="{ED5B1086-D9CC-4F3D-AAD8-59EA1E8E9E33}"/>
  </hyperlinks>
  <pageMargins left="1" right="1" top="1" bottom="1" header="0.5" footer="0.5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ACB2-253D-463E-99F1-4C6F1CC2B534}">
  <sheetPr>
    <tabColor rgb="FFA32794"/>
  </sheetPr>
  <dimension ref="A1:DG103"/>
  <sheetViews>
    <sheetView topLeftCell="B67" zoomScale="120" zoomScaleNormal="120" workbookViewId="0">
      <selection activeCell="B100" sqref="B100"/>
    </sheetView>
  </sheetViews>
  <sheetFormatPr baseColWidth="10" defaultColWidth="11.42578125" defaultRowHeight="12.75"/>
  <cols>
    <col min="1" max="1" width="42.85546875" style="471" customWidth="1"/>
    <col min="2" max="2" width="18.140625" style="471" customWidth="1"/>
    <col min="3" max="3" width="16" style="471" customWidth="1"/>
    <col min="4" max="4" width="13.85546875" style="471" customWidth="1"/>
    <col min="5" max="6" width="16" style="471" customWidth="1"/>
    <col min="7" max="7" width="18.42578125" style="471" bestFit="1" customWidth="1"/>
    <col min="8" max="8" width="14.42578125" style="471" bestFit="1" customWidth="1"/>
    <col min="9" max="11" width="15.28515625" style="471" customWidth="1"/>
    <col min="12" max="13" width="18.42578125" style="471" customWidth="1"/>
    <col min="14" max="14" width="20.140625" style="471" bestFit="1" customWidth="1"/>
    <col min="15" max="15" width="17.42578125" style="471" customWidth="1"/>
    <col min="16" max="16384" width="11.42578125" style="471"/>
  </cols>
  <sheetData>
    <row r="1" spans="1:15" ht="18.75">
      <c r="A1" s="469" t="s">
        <v>588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pans="1:15" ht="18.75">
      <c r="A2" s="469"/>
      <c r="B2" s="470"/>
      <c r="C2" s="470"/>
      <c r="D2" s="470"/>
      <c r="E2" s="470"/>
      <c r="F2" s="470" t="s">
        <v>589</v>
      </c>
      <c r="G2" s="470" t="s">
        <v>590</v>
      </c>
      <c r="H2" s="470"/>
      <c r="I2" s="470"/>
      <c r="J2" s="470"/>
      <c r="K2" s="470"/>
      <c r="L2" s="470"/>
      <c r="M2" s="470"/>
      <c r="N2" s="470"/>
      <c r="O2" s="470"/>
    </row>
    <row r="3" spans="1:15" ht="19.5" thickBot="1">
      <c r="A3" s="469"/>
      <c r="B3" s="470"/>
      <c r="C3" s="470"/>
      <c r="D3" s="470"/>
      <c r="E3" s="470"/>
      <c r="F3" s="470" t="s">
        <v>591</v>
      </c>
      <c r="G3" s="470" t="s">
        <v>592</v>
      </c>
      <c r="H3" s="470"/>
      <c r="I3" s="470"/>
      <c r="J3" s="470"/>
      <c r="K3" s="470"/>
      <c r="L3" s="470"/>
      <c r="M3" s="470"/>
      <c r="N3" s="470"/>
      <c r="O3" s="470"/>
    </row>
    <row r="4" spans="1:15">
      <c r="A4" s="472"/>
      <c r="B4" s="473"/>
      <c r="C4" s="474"/>
      <c r="D4" s="475"/>
      <c r="E4" s="473"/>
      <c r="F4" s="473"/>
      <c r="G4" s="472"/>
      <c r="H4" s="476"/>
      <c r="I4" s="476"/>
      <c r="J4" s="476"/>
      <c r="K4" s="476"/>
      <c r="L4" s="476"/>
      <c r="M4" s="477" t="s">
        <v>593</v>
      </c>
      <c r="N4" s="477" t="s">
        <v>594</v>
      </c>
      <c r="O4" s="478"/>
    </row>
    <row r="5" spans="1:15" ht="13.5" thickBot="1">
      <c r="A5" s="479" t="s">
        <v>595</v>
      </c>
      <c r="B5" s="480" t="s">
        <v>596</v>
      </c>
      <c r="C5" s="481" t="s">
        <v>597</v>
      </c>
      <c r="D5" s="482"/>
      <c r="E5" s="480" t="s">
        <v>596</v>
      </c>
      <c r="F5" s="480" t="s">
        <v>598</v>
      </c>
      <c r="G5" s="483" t="s">
        <v>599</v>
      </c>
      <c r="H5" s="484"/>
      <c r="I5" s="484"/>
      <c r="J5" s="484"/>
      <c r="K5" s="484"/>
      <c r="L5" s="484"/>
      <c r="M5" s="480" t="s">
        <v>600</v>
      </c>
      <c r="N5" s="485" t="s">
        <v>601</v>
      </c>
      <c r="O5" s="486" t="s">
        <v>602</v>
      </c>
    </row>
    <row r="6" spans="1:15">
      <c r="A6" s="487"/>
      <c r="B6" s="480" t="s">
        <v>603</v>
      </c>
      <c r="C6" s="473"/>
      <c r="D6" s="488"/>
      <c r="E6" s="480" t="s">
        <v>603</v>
      </c>
      <c r="F6" s="477" t="s">
        <v>604</v>
      </c>
      <c r="G6" s="489" t="s">
        <v>605</v>
      </c>
      <c r="H6" s="477" t="s">
        <v>606</v>
      </c>
      <c r="I6" s="490" t="s">
        <v>607</v>
      </c>
      <c r="J6" s="490" t="s">
        <v>608</v>
      </c>
      <c r="K6" s="491" t="s">
        <v>609</v>
      </c>
      <c r="L6" s="492" t="s">
        <v>610</v>
      </c>
      <c r="M6" s="490" t="s">
        <v>611</v>
      </c>
      <c r="N6" s="490" t="s">
        <v>611</v>
      </c>
      <c r="O6" s="486"/>
    </row>
    <row r="7" spans="1:15" ht="15.75" thickBot="1">
      <c r="A7" s="493"/>
      <c r="B7" s="494" t="str">
        <f>INDICE!B6</f>
        <v>Al 31/12/2022</v>
      </c>
      <c r="C7" s="495" t="s">
        <v>604</v>
      </c>
      <c r="D7" s="496" t="s">
        <v>612</v>
      </c>
      <c r="E7" s="494" t="s">
        <v>613</v>
      </c>
      <c r="F7" s="495" t="s">
        <v>614</v>
      </c>
      <c r="G7" s="497" t="s">
        <v>615</v>
      </c>
      <c r="H7" s="495" t="s">
        <v>616</v>
      </c>
      <c r="I7" s="498" t="s">
        <v>617</v>
      </c>
      <c r="J7" s="499" t="s">
        <v>618</v>
      </c>
      <c r="K7" s="499" t="s">
        <v>619</v>
      </c>
      <c r="L7" s="500" t="s">
        <v>620</v>
      </c>
      <c r="M7" s="498" t="s">
        <v>621</v>
      </c>
      <c r="N7" s="498" t="s">
        <v>621</v>
      </c>
      <c r="O7" s="501"/>
    </row>
    <row r="8" spans="1:15">
      <c r="A8" s="502" t="s">
        <v>622</v>
      </c>
      <c r="B8" s="503"/>
      <c r="C8" s="503"/>
      <c r="D8" s="504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5"/>
    </row>
    <row r="9" spans="1:15">
      <c r="A9" s="506" t="s">
        <v>623</v>
      </c>
      <c r="B9" s="507">
        <f>+'BALANCE GRAL 31 12 22'!D12</f>
        <v>396498174</v>
      </c>
      <c r="C9" s="507"/>
      <c r="D9" s="508"/>
      <c r="E9" s="507">
        <v>112935599</v>
      </c>
      <c r="F9" s="507">
        <f t="shared" ref="F9:F22" si="0">B9-E9+C9-D9</f>
        <v>283562575</v>
      </c>
      <c r="G9" s="507"/>
      <c r="H9" s="507"/>
      <c r="I9" s="507"/>
      <c r="J9" s="507"/>
      <c r="K9" s="507"/>
      <c r="L9" s="507"/>
      <c r="M9" s="507"/>
      <c r="N9" s="507"/>
      <c r="O9" s="509">
        <f>F9</f>
        <v>283562575</v>
      </c>
    </row>
    <row r="10" spans="1:15">
      <c r="A10" s="506" t="s">
        <v>624</v>
      </c>
      <c r="B10" s="510">
        <f>+'Balance Gral 2022'!B34</f>
        <v>65175613</v>
      </c>
      <c r="C10" s="507"/>
      <c r="D10" s="508"/>
      <c r="E10" s="507">
        <v>25480071</v>
      </c>
      <c r="F10" s="507">
        <f t="shared" si="0"/>
        <v>39695542</v>
      </c>
      <c r="G10" s="507"/>
      <c r="H10" s="507"/>
      <c r="I10" s="507"/>
      <c r="J10" s="507"/>
      <c r="K10" s="507"/>
      <c r="L10" s="507">
        <f>-F10</f>
        <v>-39695542</v>
      </c>
      <c r="M10" s="507"/>
      <c r="N10" s="507"/>
      <c r="O10" s="509"/>
    </row>
    <row r="11" spans="1:15">
      <c r="A11" s="511" t="s">
        <v>625</v>
      </c>
      <c r="B11" s="512">
        <v>0</v>
      </c>
      <c r="C11" s="512"/>
      <c r="D11" s="513"/>
      <c r="E11" s="512">
        <v>0</v>
      </c>
      <c r="F11" s="512">
        <f t="shared" si="0"/>
        <v>0</v>
      </c>
      <c r="G11" s="507"/>
      <c r="H11" s="507"/>
      <c r="I11" s="507"/>
      <c r="J11" s="507">
        <f>-F11</f>
        <v>0</v>
      </c>
      <c r="K11" s="507"/>
      <c r="L11" s="507"/>
      <c r="M11" s="507"/>
      <c r="N11" s="507"/>
      <c r="O11" s="509"/>
    </row>
    <row r="12" spans="1:15">
      <c r="A12" s="514" t="s">
        <v>626</v>
      </c>
      <c r="B12" s="515">
        <f>+'BALANCE GRAL 31 12 22'!D22</f>
        <v>16642719</v>
      </c>
      <c r="C12" s="515"/>
      <c r="D12" s="516"/>
      <c r="E12" s="515">
        <v>16074000</v>
      </c>
      <c r="F12" s="507">
        <f t="shared" si="0"/>
        <v>568719</v>
      </c>
      <c r="G12" s="515">
        <f>-F12</f>
        <v>-568719</v>
      </c>
      <c r="H12" s="515"/>
      <c r="I12" s="515"/>
      <c r="J12" s="515"/>
      <c r="K12" s="515"/>
      <c r="L12" s="515"/>
      <c r="M12" s="515"/>
      <c r="N12" s="515"/>
      <c r="O12" s="517"/>
    </row>
    <row r="13" spans="1:15">
      <c r="A13" s="514" t="s">
        <v>627</v>
      </c>
      <c r="B13" s="515">
        <f>+'BALANCE GRAL 31 12 22'!D29-B10-B12-B11</f>
        <v>154920000</v>
      </c>
      <c r="C13" s="515"/>
      <c r="D13" s="515">
        <v>0</v>
      </c>
      <c r="E13" s="515">
        <v>28520000</v>
      </c>
      <c r="F13" s="507">
        <f t="shared" si="0"/>
        <v>126400000</v>
      </c>
      <c r="H13" s="515"/>
      <c r="I13" s="515"/>
      <c r="J13" s="515"/>
      <c r="K13" s="515"/>
      <c r="L13" s="515">
        <f>-F13</f>
        <v>-126400000</v>
      </c>
      <c r="M13" s="515"/>
      <c r="N13" s="515"/>
      <c r="O13" s="517"/>
    </row>
    <row r="14" spans="1:15">
      <c r="A14" s="518" t="s">
        <v>628</v>
      </c>
      <c r="B14" s="519">
        <v>0</v>
      </c>
      <c r="C14" s="519"/>
      <c r="D14" s="519"/>
      <c r="E14" s="519">
        <v>0</v>
      </c>
      <c r="F14" s="507">
        <f t="shared" si="0"/>
        <v>0</v>
      </c>
      <c r="G14" s="520"/>
      <c r="H14" s="520"/>
      <c r="I14" s="520"/>
      <c r="J14" s="520"/>
      <c r="K14" s="520"/>
      <c r="L14" s="520"/>
      <c r="M14" s="520"/>
      <c r="N14" s="520"/>
      <c r="O14" s="521"/>
    </row>
    <row r="15" spans="1:15">
      <c r="A15" s="514" t="s">
        <v>629</v>
      </c>
      <c r="B15" s="515">
        <f>+'BALANCE GRAL 31 12 22'!D20</f>
        <v>8400633163</v>
      </c>
      <c r="C15" s="515">
        <f>D44+D53+D28</f>
        <v>418985378</v>
      </c>
      <c r="D15" s="515">
        <f>+C28</f>
        <v>582837589</v>
      </c>
      <c r="E15" s="515">
        <v>11238534504</v>
      </c>
      <c r="F15" s="507">
        <f t="shared" si="0"/>
        <v>-3001753552</v>
      </c>
      <c r="G15" s="515"/>
      <c r="H15" s="515"/>
      <c r="I15" s="515"/>
      <c r="J15" s="515"/>
      <c r="K15" s="515"/>
      <c r="L15" s="515"/>
      <c r="M15" s="515">
        <f>-F15</f>
        <v>3001753552</v>
      </c>
      <c r="N15" s="515"/>
      <c r="O15" s="517"/>
    </row>
    <row r="16" spans="1:15">
      <c r="A16" s="514" t="s">
        <v>630</v>
      </c>
      <c r="B16" s="515">
        <f>+'BALANCE GRAL 31 12 22'!D47</f>
        <v>1654838241</v>
      </c>
      <c r="C16" s="515"/>
      <c r="D16" s="515">
        <f>C35</f>
        <v>102000000</v>
      </c>
      <c r="E16" s="515">
        <v>900000000</v>
      </c>
      <c r="F16" s="507">
        <f t="shared" si="0"/>
        <v>652838241</v>
      </c>
      <c r="G16" s="515"/>
      <c r="H16" s="515"/>
      <c r="I16" s="515"/>
      <c r="J16" s="515"/>
      <c r="K16" s="515"/>
      <c r="L16" s="515"/>
      <c r="M16" s="515">
        <f>-F16</f>
        <v>-652838241</v>
      </c>
      <c r="N16" s="515"/>
      <c r="O16" s="517"/>
    </row>
    <row r="17" spans="1:111">
      <c r="A17" s="518" t="s">
        <v>631</v>
      </c>
      <c r="B17" s="519">
        <f>'BALANCE GRAL 31 12 22'!D59</f>
        <v>13232431</v>
      </c>
      <c r="C17" s="522"/>
      <c r="D17" s="519"/>
      <c r="E17" s="519">
        <v>5276772</v>
      </c>
      <c r="F17" s="507">
        <f t="shared" si="0"/>
        <v>7955659</v>
      </c>
      <c r="G17" s="515"/>
      <c r="H17" s="515"/>
      <c r="I17" s="515"/>
      <c r="J17" s="515"/>
      <c r="K17" s="515"/>
      <c r="L17" s="515"/>
      <c r="M17" s="515">
        <f>-F17</f>
        <v>-7955659</v>
      </c>
      <c r="N17" s="515"/>
      <c r="O17" s="517"/>
    </row>
    <row r="18" spans="1:111">
      <c r="A18" s="523" t="s">
        <v>632</v>
      </c>
      <c r="B18" s="524">
        <f>'BALANCE GRAL 31 12 22'!D60</f>
        <v>-949819</v>
      </c>
      <c r="C18" s="524">
        <f>D50-C20</f>
        <v>949819</v>
      </c>
      <c r="D18" s="525"/>
      <c r="E18" s="524">
        <v>0</v>
      </c>
      <c r="F18" s="526">
        <f t="shared" si="0"/>
        <v>0</v>
      </c>
      <c r="G18" s="520"/>
      <c r="H18" s="520"/>
      <c r="I18" s="520"/>
      <c r="J18" s="520"/>
      <c r="K18" s="520"/>
      <c r="L18" s="520"/>
      <c r="M18" s="520"/>
      <c r="N18" s="520"/>
      <c r="O18" s="521"/>
    </row>
    <row r="19" spans="1:111">
      <c r="A19" s="518" t="s">
        <v>633</v>
      </c>
      <c r="B19" s="519">
        <v>0</v>
      </c>
      <c r="C19" s="522"/>
      <c r="D19" s="519"/>
      <c r="E19" s="519">
        <v>0</v>
      </c>
      <c r="F19" s="507">
        <f t="shared" si="0"/>
        <v>0</v>
      </c>
      <c r="G19" s="515"/>
      <c r="H19" s="515"/>
      <c r="I19" s="515"/>
      <c r="J19" s="515"/>
      <c r="K19" s="515"/>
      <c r="L19" s="515"/>
      <c r="M19" s="515">
        <f>-F19</f>
        <v>0</v>
      </c>
      <c r="N19" s="515"/>
      <c r="O19" s="517"/>
    </row>
    <row r="20" spans="1:111">
      <c r="A20" s="523" t="s">
        <v>634</v>
      </c>
      <c r="B20" s="524">
        <f>'[7]Balance Gral 2022'!$B$59</f>
        <v>-38492921</v>
      </c>
      <c r="C20" s="524">
        <f>19246461</f>
        <v>19246461</v>
      </c>
      <c r="D20" s="525">
        <v>0</v>
      </c>
      <c r="E20" s="524">
        <v>-19246460.5</v>
      </c>
      <c r="F20" s="526">
        <f>B20-E20+C20-D20</f>
        <v>0.5</v>
      </c>
      <c r="G20" s="520"/>
      <c r="H20" s="520"/>
      <c r="I20" s="520"/>
      <c r="J20" s="520"/>
      <c r="K20" s="520"/>
      <c r="L20" s="520"/>
      <c r="M20" s="520"/>
      <c r="N20" s="520"/>
      <c r="O20" s="521"/>
    </row>
    <row r="21" spans="1:111" s="531" customFormat="1">
      <c r="A21" s="527" t="s">
        <v>635</v>
      </c>
      <c r="B21" s="532">
        <f>+'BALANCE GRAL 31 12 22'!D36</f>
        <v>998105547</v>
      </c>
      <c r="C21" s="533">
        <v>0</v>
      </c>
      <c r="D21" s="534">
        <v>660252075</v>
      </c>
      <c r="E21" s="534">
        <v>337853472</v>
      </c>
      <c r="F21" s="526">
        <f t="shared" si="0"/>
        <v>0</v>
      </c>
      <c r="G21" s="528"/>
      <c r="H21" s="528"/>
      <c r="I21" s="528"/>
      <c r="J21" s="528"/>
      <c r="K21" s="528"/>
      <c r="L21" s="528">
        <f>-F21</f>
        <v>0</v>
      </c>
      <c r="M21" s="528">
        <v>0</v>
      </c>
      <c r="N21" s="528"/>
      <c r="O21" s="529"/>
      <c r="P21" s="530">
        <v>8975342</v>
      </c>
      <c r="Q21" s="530">
        <v>105780824</v>
      </c>
      <c r="R21" s="530">
        <f>+Q21+P21</f>
        <v>114756166</v>
      </c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1"/>
      <c r="DE21" s="471"/>
      <c r="DF21" s="471"/>
      <c r="DG21" s="471"/>
    </row>
    <row r="22" spans="1:111" s="531" customFormat="1">
      <c r="A22" s="527" t="s">
        <v>636</v>
      </c>
      <c r="B22" s="532">
        <v>76985842</v>
      </c>
      <c r="C22" s="533"/>
      <c r="D22" s="534"/>
      <c r="E22" s="534">
        <v>76985842</v>
      </c>
      <c r="F22" s="526">
        <f t="shared" si="0"/>
        <v>0</v>
      </c>
      <c r="G22" s="535"/>
      <c r="H22" s="535"/>
      <c r="I22" s="535"/>
      <c r="J22" s="535"/>
      <c r="K22" s="535"/>
      <c r="L22" s="535"/>
      <c r="M22" s="535"/>
      <c r="N22" s="535"/>
      <c r="O22" s="536"/>
      <c r="P22" s="530"/>
      <c r="Q22" s="530"/>
      <c r="R22" s="530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471"/>
      <c r="BL22" s="471"/>
      <c r="BM22" s="471"/>
      <c r="BN22" s="471"/>
      <c r="BO22" s="471"/>
      <c r="BP22" s="471"/>
      <c r="BQ22" s="471"/>
      <c r="BR22" s="471"/>
      <c r="BS22" s="471"/>
      <c r="BT22" s="471"/>
      <c r="BU22" s="471"/>
      <c r="BV22" s="471"/>
      <c r="BW22" s="471"/>
      <c r="BX22" s="471"/>
      <c r="BY22" s="471"/>
      <c r="BZ22" s="471"/>
      <c r="CA22" s="471"/>
      <c r="CB22" s="471"/>
      <c r="CC22" s="471"/>
      <c r="CD22" s="471"/>
      <c r="CE22" s="471"/>
      <c r="CF22" s="471"/>
      <c r="CG22" s="471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1"/>
      <c r="CV22" s="471"/>
      <c r="CW22" s="471"/>
      <c r="CX22" s="471"/>
      <c r="CY22" s="471"/>
      <c r="CZ22" s="471"/>
      <c r="DA22" s="471"/>
      <c r="DB22" s="471"/>
      <c r="DC22" s="471"/>
      <c r="DD22" s="471"/>
      <c r="DE22" s="471"/>
      <c r="DF22" s="471"/>
      <c r="DG22" s="471"/>
    </row>
    <row r="23" spans="1:111" ht="13.5" thickBot="1">
      <c r="A23" s="537" t="s">
        <v>637</v>
      </c>
      <c r="B23" s="538">
        <f>SUM(B9:B22)</f>
        <v>11737588990</v>
      </c>
      <c r="C23" s="515"/>
      <c r="D23" s="515"/>
      <c r="E23" s="538">
        <f>SUM(E9:E22)</f>
        <v>12722413799.5</v>
      </c>
      <c r="F23" s="507">
        <v>0</v>
      </c>
      <c r="G23" s="515"/>
      <c r="H23" s="515"/>
      <c r="I23" s="515"/>
      <c r="J23" s="515"/>
      <c r="K23" s="515"/>
      <c r="L23" s="515"/>
      <c r="M23" s="515"/>
      <c r="N23" s="515"/>
      <c r="O23" s="517"/>
      <c r="P23" s="530">
        <v>1599667</v>
      </c>
      <c r="Q23" s="530">
        <v>9474951</v>
      </c>
      <c r="R23" s="530">
        <f>+Q23+P23</f>
        <v>11074618</v>
      </c>
    </row>
    <row r="24" spans="1:111" ht="13.5" thickTop="1">
      <c r="A24" s="539" t="s">
        <v>638</v>
      </c>
      <c r="B24" s="540">
        <f>+B23-'BALANCE GRAL 31 12 22'!D76</f>
        <v>0</v>
      </c>
      <c r="C24" s="541"/>
      <c r="D24" s="541"/>
      <c r="E24" s="540">
        <f>+E23-'BALANCE GRAL 31 12 22'!E76</f>
        <v>-0.5</v>
      </c>
      <c r="F24" s="542">
        <f t="shared" ref="F24:F39" si="1">B24-E24+C24-D24</f>
        <v>0.5</v>
      </c>
      <c r="G24" s="515"/>
      <c r="H24" s="515"/>
      <c r="I24" s="515"/>
      <c r="J24" s="515"/>
      <c r="K24" s="515"/>
      <c r="L24" s="515"/>
      <c r="M24" s="515"/>
      <c r="N24" s="515"/>
      <c r="O24" s="517"/>
      <c r="P24" s="530">
        <v>4727013</v>
      </c>
      <c r="Q24" s="530">
        <v>30725588</v>
      </c>
      <c r="R24" s="530">
        <f>+Q24+P24</f>
        <v>35452601</v>
      </c>
    </row>
    <row r="25" spans="1:111">
      <c r="A25" s="514" t="s">
        <v>639</v>
      </c>
      <c r="B25" s="543">
        <f>-'BALANCE GRAL 31 12 22'!G20</f>
        <v>-7170492535</v>
      </c>
      <c r="C25" s="515">
        <f>D21+1</f>
        <v>660252076</v>
      </c>
      <c r="D25" s="515">
        <v>0</v>
      </c>
      <c r="E25" s="543">
        <v>-9026012385</v>
      </c>
      <c r="F25" s="507">
        <f t="shared" si="1"/>
        <v>2515771926</v>
      </c>
      <c r="G25" s="515"/>
      <c r="H25" s="515"/>
      <c r="I25" s="515"/>
      <c r="J25" s="515"/>
      <c r="K25" s="515"/>
      <c r="L25" s="515"/>
      <c r="M25" s="515"/>
      <c r="N25" s="515">
        <f>-F25</f>
        <v>-2515771926</v>
      </c>
      <c r="O25" s="517"/>
      <c r="P25" s="530">
        <v>5522903</v>
      </c>
      <c r="Q25" s="530">
        <v>52954902</v>
      </c>
      <c r="R25" s="530">
        <f>+Q25+P25</f>
        <v>58477805</v>
      </c>
    </row>
    <row r="26" spans="1:111">
      <c r="A26" s="514" t="s">
        <v>640</v>
      </c>
      <c r="B26" s="515">
        <f>-'BALANCE GRAL 31 12 22'!G10</f>
        <v>-317004338</v>
      </c>
      <c r="C26" s="515">
        <f>+D33</f>
        <v>0</v>
      </c>
      <c r="D26" s="515"/>
      <c r="E26" s="515">
        <v>-5965366</v>
      </c>
      <c r="F26" s="507">
        <f t="shared" si="1"/>
        <v>-311038972</v>
      </c>
      <c r="G26" s="515">
        <f>-F26</f>
        <v>311038972</v>
      </c>
      <c r="H26" s="515"/>
      <c r="J26" s="515"/>
      <c r="K26" s="515"/>
      <c r="L26" s="515"/>
      <c r="M26" s="515"/>
      <c r="N26" s="515"/>
      <c r="O26" s="517"/>
      <c r="P26" s="530">
        <v>1172931</v>
      </c>
      <c r="Q26" s="530">
        <v>51608984</v>
      </c>
      <c r="R26" s="530">
        <f>+Q26+P26</f>
        <v>52781915</v>
      </c>
    </row>
    <row r="27" spans="1:111">
      <c r="A27" s="514" t="s">
        <v>641</v>
      </c>
      <c r="B27" s="515">
        <f>-'BALANCE GRAL 31 12 22'!G11-'BALANCE GRAL 31 12 22'!G25-4884821-1-'BALANCE GRAL 31 12 22'!G12</f>
        <v>-71772374</v>
      </c>
      <c r="C27" s="515">
        <v>0</v>
      </c>
      <c r="D27" s="515"/>
      <c r="E27" s="515">
        <v>-15926180</v>
      </c>
      <c r="F27" s="507">
        <f t="shared" si="1"/>
        <v>-55846194</v>
      </c>
      <c r="G27" s="515"/>
      <c r="H27" s="515"/>
      <c r="I27" s="515"/>
      <c r="J27" s="515"/>
      <c r="K27" s="515"/>
      <c r="L27" s="515">
        <f>-F27</f>
        <v>55846194</v>
      </c>
      <c r="M27" s="515"/>
      <c r="N27" s="515"/>
      <c r="O27" s="517"/>
      <c r="P27" s="540">
        <f>SUM(P21:P26)</f>
        <v>21997856</v>
      </c>
      <c r="Q27" s="540">
        <f>SUM(Q21:Q26)</f>
        <v>250545249</v>
      </c>
      <c r="R27" s="540">
        <f>SUM(R21:R26)</f>
        <v>272543105</v>
      </c>
    </row>
    <row r="28" spans="1:111">
      <c r="A28" s="514" t="s">
        <v>642</v>
      </c>
      <c r="B28" s="515">
        <f>-'BALANCE GRAL 31 12 22'!G34+4884822</f>
        <v>-449997095</v>
      </c>
      <c r="C28" s="515">
        <v>582837589</v>
      </c>
      <c r="D28" s="515">
        <f>430668725-1</f>
        <v>430668724</v>
      </c>
      <c r="E28" s="515">
        <f>-297828231+1</f>
        <v>-297828230</v>
      </c>
      <c r="F28" s="507">
        <f t="shared" si="1"/>
        <v>0</v>
      </c>
      <c r="G28" s="515"/>
      <c r="H28" s="515"/>
      <c r="I28" s="515"/>
      <c r="J28" s="515"/>
      <c r="K28" s="515"/>
      <c r="L28" s="515"/>
      <c r="M28" s="515"/>
      <c r="N28" s="515"/>
      <c r="O28" s="517"/>
      <c r="P28" s="540"/>
      <c r="Q28" s="540"/>
      <c r="R28" s="540"/>
    </row>
    <row r="29" spans="1:111">
      <c r="A29" s="514" t="s">
        <v>643</v>
      </c>
      <c r="B29" s="515">
        <f>-'[8]Balance Gral. Resol. 6'!G23-'[8]Balance Gral. Resol. 6'!G22</f>
        <v>0</v>
      </c>
      <c r="C29" s="515">
        <f>+D48</f>
        <v>0</v>
      </c>
      <c r="D29" s="515"/>
      <c r="E29" s="515">
        <v>0</v>
      </c>
      <c r="F29" s="507">
        <f t="shared" si="1"/>
        <v>0</v>
      </c>
      <c r="G29" s="515"/>
      <c r="H29" s="515"/>
      <c r="I29" s="515"/>
      <c r="J29" s="515"/>
      <c r="K29" s="515"/>
      <c r="L29" s="515">
        <v>0</v>
      </c>
      <c r="M29" s="515"/>
      <c r="N29" s="515">
        <f>-F29</f>
        <v>0</v>
      </c>
      <c r="O29" s="517"/>
      <c r="P29" s="530"/>
      <c r="Q29" s="530"/>
      <c r="R29" s="530"/>
    </row>
    <row r="30" spans="1:111">
      <c r="A30" s="514" t="s">
        <v>644</v>
      </c>
      <c r="B30" s="515">
        <v>0</v>
      </c>
      <c r="C30" s="515"/>
      <c r="D30" s="515"/>
      <c r="E30" s="515">
        <f>-211539-1</f>
        <v>-211540</v>
      </c>
      <c r="F30" s="507">
        <f t="shared" si="1"/>
        <v>211540</v>
      </c>
      <c r="G30" s="515"/>
      <c r="H30" s="515"/>
      <c r="I30" s="515"/>
      <c r="J30" s="515">
        <f>-F30</f>
        <v>-211540</v>
      </c>
      <c r="K30" s="470"/>
      <c r="M30" s="515"/>
      <c r="N30" s="515"/>
      <c r="O30" s="517"/>
      <c r="P30" s="530"/>
      <c r="Q30" s="530"/>
      <c r="R30" s="530"/>
    </row>
    <row r="31" spans="1:111">
      <c r="A31" s="514" t="s">
        <v>645</v>
      </c>
      <c r="B31" s="515">
        <v>0</v>
      </c>
      <c r="C31" s="544"/>
      <c r="D31" s="515"/>
      <c r="E31" s="515">
        <v>0</v>
      </c>
      <c r="F31" s="507">
        <f t="shared" si="1"/>
        <v>0</v>
      </c>
      <c r="G31" s="515"/>
      <c r="H31" s="515"/>
      <c r="I31" s="515"/>
      <c r="J31" s="515"/>
      <c r="K31" s="515"/>
      <c r="L31" s="515">
        <f>-F31</f>
        <v>0</v>
      </c>
      <c r="M31" s="515"/>
      <c r="N31" s="515"/>
      <c r="O31" s="517"/>
      <c r="P31" s="530"/>
      <c r="Q31" s="530"/>
      <c r="R31" s="530"/>
    </row>
    <row r="32" spans="1:111">
      <c r="A32" s="545" t="s">
        <v>646</v>
      </c>
      <c r="B32" s="546">
        <f>-'BALANCE GRAL 31 12 22'!G63</f>
        <v>-3805000000</v>
      </c>
      <c r="C32" s="547">
        <v>0</v>
      </c>
      <c r="D32" s="546"/>
      <c r="E32" s="546">
        <v>-3386000000</v>
      </c>
      <c r="F32" s="526">
        <f t="shared" si="1"/>
        <v>-419000000</v>
      </c>
      <c r="G32" s="515"/>
      <c r="H32" s="515"/>
      <c r="I32" s="515"/>
      <c r="J32" s="515"/>
      <c r="K32" s="515"/>
      <c r="L32" s="515"/>
      <c r="M32" s="515"/>
      <c r="N32" s="515">
        <f>-F32</f>
        <v>419000000</v>
      </c>
      <c r="O32" s="517"/>
      <c r="P32" s="530"/>
      <c r="Q32" s="530"/>
      <c r="R32" s="530"/>
    </row>
    <row r="33" spans="1:111">
      <c r="A33" s="514" t="s">
        <v>647</v>
      </c>
      <c r="B33" s="515">
        <v>0</v>
      </c>
      <c r="C33" s="470"/>
      <c r="D33" s="515">
        <v>0</v>
      </c>
      <c r="E33" s="515">
        <v>0</v>
      </c>
      <c r="F33" s="507">
        <f t="shared" si="1"/>
        <v>0</v>
      </c>
      <c r="G33" s="515"/>
      <c r="H33" s="515"/>
      <c r="I33" s="515"/>
      <c r="J33" s="515"/>
      <c r="K33" s="515"/>
      <c r="L33" s="515"/>
      <c r="M33" s="515"/>
      <c r="N33" s="515">
        <f>-F33</f>
        <v>0</v>
      </c>
      <c r="O33" s="517"/>
      <c r="P33" s="530"/>
      <c r="Q33" s="530"/>
      <c r="R33" s="530"/>
    </row>
    <row r="34" spans="1:111">
      <c r="A34" s="523" t="s">
        <v>648</v>
      </c>
      <c r="B34" s="524">
        <v>0</v>
      </c>
      <c r="C34" s="524">
        <v>0</v>
      </c>
      <c r="D34" s="524">
        <v>0</v>
      </c>
      <c r="E34" s="524">
        <v>0</v>
      </c>
      <c r="F34" s="526">
        <f t="shared" si="1"/>
        <v>0</v>
      </c>
      <c r="G34" s="520"/>
      <c r="H34" s="520"/>
      <c r="I34" s="520"/>
      <c r="J34" s="520"/>
      <c r="K34" s="520"/>
      <c r="L34" s="520"/>
      <c r="M34" s="520"/>
      <c r="N34" s="520"/>
      <c r="O34" s="521"/>
      <c r="P34" s="530"/>
      <c r="Q34" s="530"/>
      <c r="R34" s="530"/>
    </row>
    <row r="35" spans="1:111">
      <c r="A35" s="523" t="s">
        <v>649</v>
      </c>
      <c r="B35" s="524">
        <f>-'BALANCE GRAL 31 12 22'!G67</f>
        <v>-102000000</v>
      </c>
      <c r="C35" s="524">
        <v>102000000</v>
      </c>
      <c r="D35" s="524">
        <v>0</v>
      </c>
      <c r="E35" s="524">
        <v>0</v>
      </c>
      <c r="F35" s="526">
        <f t="shared" si="1"/>
        <v>0</v>
      </c>
      <c r="G35" s="520"/>
      <c r="H35" s="520"/>
      <c r="I35" s="520"/>
      <c r="J35" s="520"/>
      <c r="K35" s="520"/>
      <c r="L35" s="520"/>
      <c r="M35" s="520"/>
      <c r="N35" s="520"/>
      <c r="O35" s="521"/>
      <c r="P35" s="530"/>
      <c r="Q35" s="530"/>
      <c r="R35" s="530"/>
    </row>
    <row r="36" spans="1:111">
      <c r="A36" s="523" t="s">
        <v>650</v>
      </c>
      <c r="B36" s="524">
        <v>0</v>
      </c>
      <c r="C36" s="524">
        <v>0</v>
      </c>
      <c r="D36" s="524">
        <v>0</v>
      </c>
      <c r="E36" s="524">
        <v>0</v>
      </c>
      <c r="F36" s="526">
        <f t="shared" si="1"/>
        <v>0</v>
      </c>
      <c r="G36" s="520"/>
      <c r="H36" s="520"/>
      <c r="I36" s="520"/>
      <c r="J36" s="520"/>
      <c r="K36" s="520"/>
      <c r="L36" s="520"/>
      <c r="M36" s="520"/>
      <c r="N36" s="520"/>
      <c r="O36" s="521"/>
      <c r="P36" s="530"/>
      <c r="Q36" s="530"/>
      <c r="R36" s="530"/>
    </row>
    <row r="37" spans="1:111" s="531" customFormat="1">
      <c r="A37" s="523" t="s">
        <v>651</v>
      </c>
      <c r="B37" s="524">
        <f>-'[6]Balance Gral 31 03 2022'!$B$80</f>
        <v>9529901</v>
      </c>
      <c r="C37" s="524">
        <f>D39</f>
        <v>-9529901</v>
      </c>
      <c r="D37" s="524">
        <v>0</v>
      </c>
      <c r="E37" s="524">
        <v>0</v>
      </c>
      <c r="F37" s="526">
        <f t="shared" si="1"/>
        <v>0</v>
      </c>
      <c r="G37" s="520"/>
      <c r="H37" s="520"/>
      <c r="I37" s="520"/>
      <c r="J37" s="520"/>
      <c r="K37" s="520"/>
      <c r="L37" s="520"/>
      <c r="M37" s="520"/>
      <c r="N37" s="520"/>
      <c r="O37" s="521"/>
      <c r="P37" s="530"/>
      <c r="Q37" s="530"/>
      <c r="R37" s="530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71"/>
      <c r="BL37" s="471"/>
      <c r="BM37" s="471"/>
      <c r="BN37" s="471"/>
      <c r="BO37" s="471"/>
      <c r="BP37" s="471"/>
      <c r="BQ37" s="471"/>
      <c r="BR37" s="471"/>
      <c r="BS37" s="471"/>
      <c r="BT37" s="471"/>
      <c r="BU37" s="471"/>
      <c r="BV37" s="471"/>
      <c r="BW37" s="471"/>
      <c r="BX37" s="471"/>
      <c r="BY37" s="471"/>
      <c r="BZ37" s="471"/>
      <c r="CA37" s="471"/>
      <c r="CB37" s="471"/>
      <c r="CC37" s="471"/>
      <c r="CD37" s="471"/>
      <c r="CE37" s="471"/>
      <c r="CF37" s="471"/>
      <c r="CG37" s="471"/>
      <c r="CH37" s="471"/>
      <c r="CI37" s="471"/>
      <c r="CJ37" s="471"/>
      <c r="CK37" s="471"/>
      <c r="CL37" s="471"/>
      <c r="CM37" s="471"/>
      <c r="CN37" s="471"/>
      <c r="CO37" s="471"/>
      <c r="CP37" s="471"/>
      <c r="CQ37" s="471"/>
      <c r="CR37" s="471"/>
      <c r="CS37" s="471"/>
      <c r="CT37" s="471"/>
      <c r="CU37" s="471"/>
      <c r="CV37" s="471"/>
      <c r="CW37" s="471"/>
      <c r="CX37" s="471"/>
      <c r="CY37" s="471"/>
      <c r="CZ37" s="471"/>
      <c r="DA37" s="471"/>
      <c r="DB37" s="471"/>
      <c r="DC37" s="471"/>
      <c r="DD37" s="471"/>
      <c r="DE37" s="471"/>
      <c r="DF37" s="471"/>
      <c r="DG37" s="471"/>
    </row>
    <row r="38" spans="1:111" s="531" customFormat="1">
      <c r="A38" s="523" t="s">
        <v>652</v>
      </c>
      <c r="B38" s="548">
        <v>0</v>
      </c>
      <c r="C38" s="524"/>
      <c r="D38" s="524"/>
      <c r="E38" s="548">
        <v>0</v>
      </c>
      <c r="F38" s="526">
        <f t="shared" si="1"/>
        <v>0</v>
      </c>
      <c r="G38" s="520"/>
      <c r="H38" s="520"/>
      <c r="I38" s="520"/>
      <c r="J38" s="520"/>
      <c r="K38" s="520"/>
      <c r="L38" s="549"/>
      <c r="M38" s="520"/>
      <c r="N38" s="520"/>
      <c r="O38" s="521"/>
      <c r="P38" s="530"/>
      <c r="Q38" s="530"/>
      <c r="R38" s="530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1"/>
      <c r="BL38" s="471"/>
      <c r="BM38" s="471"/>
      <c r="BN38" s="471"/>
      <c r="BO38" s="471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  <c r="CI38" s="471"/>
      <c r="CJ38" s="471"/>
      <c r="CK38" s="471"/>
      <c r="CL38" s="471"/>
      <c r="CM38" s="471"/>
      <c r="CN38" s="471"/>
      <c r="CO38" s="471"/>
      <c r="CP38" s="471"/>
      <c r="CQ38" s="471"/>
      <c r="CR38" s="471"/>
      <c r="CS38" s="471"/>
      <c r="CT38" s="471"/>
      <c r="CU38" s="471"/>
      <c r="CV38" s="471"/>
      <c r="CW38" s="471"/>
      <c r="CX38" s="471"/>
      <c r="CY38" s="471"/>
      <c r="CZ38" s="471"/>
      <c r="DA38" s="471"/>
      <c r="DB38" s="471"/>
      <c r="DC38" s="471"/>
      <c r="DD38" s="471"/>
      <c r="DE38" s="471"/>
      <c r="DF38" s="471"/>
      <c r="DG38" s="471"/>
    </row>
    <row r="39" spans="1:111" s="531" customFormat="1" ht="13.5" thickBot="1">
      <c r="A39" s="523" t="s">
        <v>653</v>
      </c>
      <c r="B39" s="550">
        <f>-'BALANCE GRAL 31 12 22'!G73</f>
        <v>169147450.69999999</v>
      </c>
      <c r="C39" s="524">
        <f>+D58</f>
        <v>-169147451</v>
      </c>
      <c r="D39" s="551">
        <f>-9529901</f>
        <v>-9529901</v>
      </c>
      <c r="E39" s="550">
        <f>9318361.73+211539</f>
        <v>9529900.7300000004</v>
      </c>
      <c r="F39" s="526">
        <f t="shared" si="1"/>
        <v>-3.0000001192092896E-2</v>
      </c>
      <c r="G39" s="520"/>
      <c r="H39" s="520"/>
      <c r="I39" s="520"/>
      <c r="J39" s="520"/>
      <c r="K39" s="520"/>
      <c r="L39" s="520"/>
      <c r="M39" s="520"/>
      <c r="N39" s="520"/>
      <c r="O39" s="521"/>
      <c r="P39" s="530"/>
      <c r="Q39" s="530"/>
      <c r="R39" s="530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1"/>
      <c r="BP39" s="471"/>
      <c r="BQ39" s="471"/>
      <c r="BR39" s="471"/>
      <c r="BS39" s="471"/>
      <c r="BT39" s="471"/>
      <c r="BU39" s="471"/>
      <c r="BV39" s="471"/>
      <c r="BW39" s="471"/>
      <c r="BX39" s="471"/>
      <c r="BY39" s="471"/>
      <c r="BZ39" s="471"/>
      <c r="CA39" s="471"/>
      <c r="CB39" s="471"/>
      <c r="CC39" s="471"/>
      <c r="CD39" s="471"/>
      <c r="CE39" s="471"/>
      <c r="CF39" s="471"/>
      <c r="CG39" s="471"/>
      <c r="CH39" s="471"/>
      <c r="CI39" s="471"/>
      <c r="CJ39" s="471"/>
      <c r="CK39" s="471"/>
      <c r="CL39" s="471"/>
      <c r="CM39" s="471"/>
      <c r="CN39" s="471"/>
      <c r="CO39" s="471"/>
      <c r="CP39" s="471"/>
      <c r="CQ39" s="471"/>
      <c r="CR39" s="471"/>
      <c r="CS39" s="471"/>
      <c r="CT39" s="471"/>
      <c r="CU39" s="471"/>
      <c r="CV39" s="471"/>
      <c r="CW39" s="471"/>
      <c r="CX39" s="471"/>
      <c r="CY39" s="471"/>
      <c r="CZ39" s="471"/>
      <c r="DA39" s="471"/>
      <c r="DB39" s="471"/>
      <c r="DC39" s="471"/>
      <c r="DD39" s="471"/>
      <c r="DE39" s="471"/>
      <c r="DF39" s="471"/>
      <c r="DG39" s="471"/>
    </row>
    <row r="40" spans="1:111" ht="13.5" thickBot="1">
      <c r="A40" s="552" t="s">
        <v>500</v>
      </c>
      <c r="B40" s="538">
        <f>SUM(B25:B39)</f>
        <v>-11737588990.299999</v>
      </c>
      <c r="C40" s="515"/>
      <c r="D40" s="515"/>
      <c r="E40" s="538">
        <f>SUM(E25:E39)</f>
        <v>-12722413800.27</v>
      </c>
      <c r="F40" s="507"/>
      <c r="G40" s="515"/>
      <c r="H40" s="515"/>
      <c r="I40" s="515"/>
      <c r="J40" s="515"/>
      <c r="K40" s="515"/>
      <c r="L40" s="515"/>
      <c r="M40" s="515"/>
      <c r="N40" s="515"/>
      <c r="O40" s="517"/>
      <c r="P40" s="530"/>
      <c r="Q40" s="530"/>
      <c r="R40" s="530"/>
    </row>
    <row r="41" spans="1:111" ht="13.5" thickTop="1">
      <c r="A41" s="539" t="s">
        <v>654</v>
      </c>
      <c r="B41" s="553">
        <f>+B40+B23</f>
        <v>-0.29999923706054688</v>
      </c>
      <c r="C41" s="515"/>
      <c r="D41" s="515"/>
      <c r="E41" s="553">
        <f>+E40+E23</f>
        <v>-0.77000045776367188</v>
      </c>
      <c r="F41" s="507">
        <v>0</v>
      </c>
      <c r="G41" s="515"/>
      <c r="H41" s="515"/>
      <c r="I41" s="515"/>
      <c r="J41" s="515"/>
      <c r="K41" s="515"/>
      <c r="L41" s="515"/>
      <c r="M41" s="515"/>
      <c r="N41" s="515"/>
      <c r="O41" s="517"/>
      <c r="P41" s="530"/>
      <c r="Q41" s="530"/>
      <c r="R41" s="530"/>
    </row>
    <row r="42" spans="1:111">
      <c r="A42" s="514" t="s">
        <v>655</v>
      </c>
      <c r="B42" s="515">
        <f>(+'ESTADOS DE RESULTADOS 31 12 22'!E14+'ESTADOS DE RESULTADOS 31 12 22'!E26+'ESTADOS DE RESULTADOS 31 12 22'!E32)*-1</f>
        <v>-4139849</v>
      </c>
      <c r="C42" s="515"/>
      <c r="D42" s="515"/>
      <c r="E42" s="515">
        <v>0</v>
      </c>
      <c r="F42" s="507">
        <f t="shared" ref="F42:F53" si="2">B42-E42+C42-D42</f>
        <v>-4139849</v>
      </c>
      <c r="G42" s="515">
        <f>-F42</f>
        <v>4139849</v>
      </c>
      <c r="H42" s="515"/>
      <c r="I42" s="515"/>
      <c r="J42" s="515"/>
      <c r="K42" s="515"/>
      <c r="L42" s="515"/>
      <c r="M42" s="515"/>
      <c r="N42" s="515"/>
      <c r="O42" s="517"/>
    </row>
    <row r="43" spans="1:111">
      <c r="A43" s="514" t="s">
        <v>656</v>
      </c>
      <c r="B43" s="515">
        <f>-'ESTADOS DE RESULTADOS 31 12 22'!E81-'ESTADOS DE RESULTADOS 31 12 22'!E86-B44</f>
        <v>-818175137</v>
      </c>
      <c r="C43" s="515">
        <v>0</v>
      </c>
      <c r="D43" s="515">
        <v>0</v>
      </c>
      <c r="E43" s="515">
        <v>0</v>
      </c>
      <c r="F43" s="507">
        <f t="shared" si="2"/>
        <v>-818175137</v>
      </c>
      <c r="G43" s="515">
        <f>-F43</f>
        <v>818175137</v>
      </c>
      <c r="H43" s="515">
        <v>0</v>
      </c>
      <c r="I43" s="515"/>
      <c r="J43" s="515"/>
      <c r="K43" s="515"/>
      <c r="L43" s="515"/>
      <c r="M43" s="515"/>
      <c r="N43" s="515"/>
      <c r="O43" s="517"/>
    </row>
    <row r="44" spans="1:111">
      <c r="A44" s="555" t="s">
        <v>657</v>
      </c>
      <c r="B44" s="556">
        <f>-4649404-132023453-14838241</f>
        <v>-151511098</v>
      </c>
      <c r="C44" s="533"/>
      <c r="D44" s="557">
        <f>+B44</f>
        <v>-151511098</v>
      </c>
      <c r="E44" s="556">
        <v>0</v>
      </c>
      <c r="F44" s="512">
        <f t="shared" si="2"/>
        <v>0</v>
      </c>
      <c r="G44" s="520"/>
      <c r="H44" s="520"/>
      <c r="I44" s="520"/>
      <c r="J44" s="520"/>
      <c r="K44" s="520"/>
      <c r="L44" s="520">
        <f>-F44</f>
        <v>0</v>
      </c>
      <c r="M44" s="520">
        <v>0</v>
      </c>
      <c r="N44" s="520"/>
      <c r="O44" s="521"/>
    </row>
    <row r="45" spans="1:111">
      <c r="A45" s="514" t="s">
        <v>658</v>
      </c>
      <c r="B45" s="515">
        <v>0</v>
      </c>
      <c r="C45" s="515"/>
      <c r="D45" s="515"/>
      <c r="E45" s="515">
        <v>0</v>
      </c>
      <c r="F45" s="507">
        <f t="shared" si="2"/>
        <v>0</v>
      </c>
      <c r="G45" s="515"/>
      <c r="H45" s="515"/>
      <c r="I45" s="515"/>
      <c r="J45" s="515"/>
      <c r="K45" s="515"/>
      <c r="L45" s="515"/>
      <c r="M45" s="515">
        <f>-B45</f>
        <v>0</v>
      </c>
      <c r="N45" s="515"/>
      <c r="O45" s="517"/>
    </row>
    <row r="46" spans="1:111">
      <c r="A46" s="514" t="s">
        <v>659</v>
      </c>
      <c r="B46" s="515">
        <f>+'ESTADOS DE RESULTADOS 31 12 22'!E37</f>
        <v>59648837</v>
      </c>
      <c r="C46" s="515"/>
      <c r="D46" s="515"/>
      <c r="E46" s="515">
        <v>0</v>
      </c>
      <c r="F46" s="507">
        <f t="shared" si="2"/>
        <v>59648837</v>
      </c>
      <c r="G46" s="515">
        <f>-F46</f>
        <v>-59648837</v>
      </c>
      <c r="H46" s="515"/>
      <c r="I46" s="515"/>
      <c r="J46" s="515"/>
      <c r="K46" s="515"/>
      <c r="L46" s="515"/>
      <c r="M46" s="515"/>
      <c r="N46" s="515"/>
      <c r="O46" s="517"/>
    </row>
    <row r="47" spans="1:111">
      <c r="A47" s="514" t="s">
        <v>660</v>
      </c>
      <c r="B47" s="515">
        <f>'[7]EERR 2022'!$B$46</f>
        <v>132556999</v>
      </c>
      <c r="C47" s="515"/>
      <c r="D47" s="515"/>
      <c r="E47" s="515">
        <v>0</v>
      </c>
      <c r="F47" s="507">
        <f t="shared" si="2"/>
        <v>132556999</v>
      </c>
      <c r="G47" s="515"/>
      <c r="H47" s="515"/>
      <c r="I47" s="515"/>
      <c r="J47" s="515"/>
      <c r="K47" s="515">
        <f>-F47</f>
        <v>-132556999</v>
      </c>
      <c r="L47" s="515"/>
      <c r="M47" s="515"/>
      <c r="N47" s="515"/>
      <c r="O47" s="517"/>
    </row>
    <row r="48" spans="1:111">
      <c r="A48" s="514" t="s">
        <v>661</v>
      </c>
      <c r="B48" s="515">
        <v>0</v>
      </c>
      <c r="C48" s="515"/>
      <c r="D48" s="515">
        <f>+B48</f>
        <v>0</v>
      </c>
      <c r="E48" s="515">
        <v>0</v>
      </c>
      <c r="F48" s="507">
        <f t="shared" si="2"/>
        <v>0</v>
      </c>
      <c r="G48" s="515"/>
      <c r="H48" s="515"/>
      <c r="I48" s="515"/>
      <c r="J48" s="515"/>
      <c r="K48" s="515"/>
      <c r="L48" s="515">
        <f>-F48</f>
        <v>0</v>
      </c>
      <c r="M48" s="515"/>
      <c r="N48" s="515"/>
      <c r="O48" s="517"/>
    </row>
    <row r="49" spans="1:15">
      <c r="A49" s="514" t="s">
        <v>662</v>
      </c>
      <c r="B49" s="543">
        <f>+'ESTADOS DE RESULTADOS 31 12 22'!E48-'ESTADOS DE RESULTADOS 31 12 22'!E49-'ESTADOS DE RESULTADOS 31 12 22'!E89-B53+'ESTADOS DE RESULTADOS 31 12 22'!E43</f>
        <v>790743667</v>
      </c>
      <c r="C49" s="515"/>
      <c r="D49" s="554">
        <v>0</v>
      </c>
      <c r="E49" s="543">
        <v>0</v>
      </c>
      <c r="F49" s="507">
        <f t="shared" si="2"/>
        <v>790743667</v>
      </c>
      <c r="G49" s="515"/>
      <c r="H49" s="515"/>
      <c r="I49" s="515"/>
      <c r="J49" s="515"/>
      <c r="K49" s="515"/>
      <c r="L49" s="515">
        <f>-F49</f>
        <v>-790743667</v>
      </c>
      <c r="M49" s="515"/>
      <c r="N49" s="515"/>
      <c r="O49" s="517"/>
    </row>
    <row r="50" spans="1:15">
      <c r="A50" s="555" t="s">
        <v>663</v>
      </c>
      <c r="B50" s="556">
        <f>'ESTADOS DE RESULTADOS 31 12 22'!E95</f>
        <v>20196280</v>
      </c>
      <c r="C50" s="533"/>
      <c r="D50" s="557">
        <f>+B50</f>
        <v>20196280</v>
      </c>
      <c r="E50" s="556">
        <v>0</v>
      </c>
      <c r="F50" s="512">
        <f t="shared" si="2"/>
        <v>0</v>
      </c>
      <c r="G50" s="520"/>
      <c r="H50" s="520"/>
      <c r="I50" s="520"/>
      <c r="J50" s="520"/>
      <c r="K50" s="520"/>
      <c r="L50" s="520">
        <f>F50</f>
        <v>0</v>
      </c>
      <c r="M50" s="520"/>
      <c r="N50" s="520"/>
      <c r="O50" s="521"/>
    </row>
    <row r="51" spans="1:15">
      <c r="A51" s="558" t="s">
        <v>649</v>
      </c>
      <c r="B51" s="559">
        <v>0</v>
      </c>
      <c r="C51" s="533"/>
      <c r="D51" s="557"/>
      <c r="E51" s="556">
        <v>0</v>
      </c>
      <c r="F51" s="512">
        <f t="shared" si="2"/>
        <v>0</v>
      </c>
      <c r="G51" s="520"/>
      <c r="H51" s="520"/>
      <c r="I51" s="520"/>
      <c r="J51" s="520"/>
      <c r="K51" s="520"/>
      <c r="L51" s="520">
        <f>-F51</f>
        <v>0</v>
      </c>
      <c r="M51" s="520"/>
      <c r="N51" s="520"/>
      <c r="O51" s="521"/>
    </row>
    <row r="52" spans="1:15">
      <c r="A52" s="560" t="s">
        <v>664</v>
      </c>
      <c r="B52" s="556">
        <v>0</v>
      </c>
      <c r="C52" s="533"/>
      <c r="D52" s="557"/>
      <c r="E52" s="556">
        <v>0</v>
      </c>
      <c r="F52" s="512">
        <f t="shared" si="2"/>
        <v>0</v>
      </c>
      <c r="G52" s="520"/>
      <c r="H52" s="520"/>
      <c r="I52" s="520"/>
      <c r="J52" s="520"/>
      <c r="K52" s="520"/>
      <c r="L52" s="520">
        <f>-F52</f>
        <v>0</v>
      </c>
      <c r="M52" s="520"/>
      <c r="N52" s="520"/>
      <c r="O52" s="521"/>
    </row>
    <row r="53" spans="1:15">
      <c r="A53" s="555" t="s">
        <v>665</v>
      </c>
      <c r="B53" s="533">
        <f>5195334+305000+134327418</f>
        <v>139827752</v>
      </c>
      <c r="C53" s="533"/>
      <c r="D53" s="557">
        <f>+B53</f>
        <v>139827752</v>
      </c>
      <c r="E53" s="533">
        <v>0</v>
      </c>
      <c r="F53" s="512">
        <f t="shared" si="2"/>
        <v>0</v>
      </c>
      <c r="G53" s="515"/>
      <c r="H53" s="515"/>
      <c r="I53" s="515"/>
      <c r="J53" s="515"/>
      <c r="K53" s="515"/>
      <c r="L53" s="515"/>
      <c r="M53" s="515"/>
      <c r="N53" s="515">
        <f>+L5-F53</f>
        <v>0</v>
      </c>
      <c r="O53" s="517"/>
    </row>
    <row r="54" spans="1:15">
      <c r="A54" s="514"/>
      <c r="B54" s="561">
        <v>0</v>
      </c>
      <c r="C54" s="515"/>
      <c r="D54" s="554"/>
      <c r="E54" s="561">
        <v>0</v>
      </c>
      <c r="F54" s="507"/>
      <c r="G54" s="515"/>
      <c r="H54" s="515"/>
      <c r="I54" s="515"/>
      <c r="J54" s="515"/>
      <c r="K54" s="515"/>
      <c r="L54" s="515"/>
      <c r="M54" s="515"/>
      <c r="N54" s="515"/>
      <c r="O54" s="517"/>
    </row>
    <row r="55" spans="1:15">
      <c r="A55" s="514"/>
      <c r="B55" s="515">
        <v>0</v>
      </c>
      <c r="C55" s="515"/>
      <c r="D55" s="554"/>
      <c r="E55" s="561">
        <v>0</v>
      </c>
      <c r="F55" s="507"/>
      <c r="G55" s="515"/>
      <c r="H55" s="515"/>
      <c r="I55" s="515"/>
      <c r="J55" s="515"/>
      <c r="K55" s="515"/>
      <c r="L55" s="515"/>
      <c r="M55" s="515"/>
      <c r="N55" s="515"/>
      <c r="O55" s="517"/>
    </row>
    <row r="56" spans="1:15">
      <c r="A56" s="514"/>
      <c r="B56" s="515">
        <v>0</v>
      </c>
      <c r="C56" s="515"/>
      <c r="D56" s="554"/>
      <c r="E56" s="561">
        <v>0</v>
      </c>
      <c r="F56" s="507"/>
      <c r="G56" s="515"/>
      <c r="H56" s="515"/>
      <c r="I56" s="515"/>
      <c r="J56" s="515"/>
      <c r="K56" s="515"/>
      <c r="L56" s="515"/>
      <c r="M56" s="515"/>
      <c r="N56" s="515"/>
      <c r="O56" s="517"/>
    </row>
    <row r="57" spans="1:15" ht="13.5" thickBot="1">
      <c r="A57" s="558" t="s">
        <v>666</v>
      </c>
      <c r="B57" s="562">
        <v>0</v>
      </c>
      <c r="C57" s="563"/>
      <c r="D57" s="564"/>
      <c r="E57" s="557">
        <v>0</v>
      </c>
      <c r="F57" s="565">
        <f>B57-E57+C57-D57</f>
        <v>0</v>
      </c>
      <c r="G57" s="566"/>
      <c r="H57" s="520"/>
      <c r="I57" s="520"/>
      <c r="J57" s="520"/>
      <c r="K57" s="520"/>
      <c r="L57" s="520">
        <f>-F57</f>
        <v>0</v>
      </c>
      <c r="M57" s="520"/>
      <c r="N57" s="520"/>
      <c r="O57" s="521"/>
    </row>
    <row r="58" spans="1:15" ht="13.5" thickBot="1">
      <c r="A58" s="567" t="s">
        <v>119</v>
      </c>
      <c r="B58" s="568">
        <f>SUM(B42:B57)*-1</f>
        <v>-169147451</v>
      </c>
      <c r="C58" s="533">
        <v>0</v>
      </c>
      <c r="D58" s="557">
        <f>+B58</f>
        <v>-169147451</v>
      </c>
      <c r="E58" s="557">
        <v>0</v>
      </c>
      <c r="F58" s="565">
        <f>B58-E58+C58-D58</f>
        <v>0</v>
      </c>
      <c r="G58" s="520"/>
      <c r="H58" s="520"/>
      <c r="I58" s="520"/>
      <c r="J58" s="520"/>
      <c r="K58" s="520"/>
      <c r="L58" s="520">
        <f>-F58</f>
        <v>0</v>
      </c>
      <c r="M58" s="520"/>
      <c r="N58" s="520"/>
      <c r="O58" s="521"/>
    </row>
    <row r="59" spans="1:15" ht="13.5" thickBot="1">
      <c r="A59" s="569" t="s">
        <v>667</v>
      </c>
      <c r="B59" s="570">
        <f>+B58+B39</f>
        <v>-0.30000001192092896</v>
      </c>
      <c r="C59" s="570"/>
      <c r="D59" s="570"/>
      <c r="E59" s="571">
        <v>0</v>
      </c>
      <c r="F59" s="507"/>
      <c r="G59" s="561"/>
      <c r="H59" s="561"/>
      <c r="I59" s="561"/>
      <c r="J59" s="561"/>
      <c r="K59" s="561"/>
      <c r="L59" s="515"/>
      <c r="M59" s="515"/>
      <c r="N59" s="561"/>
      <c r="O59" s="517"/>
    </row>
    <row r="60" spans="1:15" ht="15.75" thickBot="1">
      <c r="A60" s="572" t="s">
        <v>602</v>
      </c>
      <c r="B60" s="571"/>
      <c r="C60" s="571">
        <f>SUM(C9:C58)</f>
        <v>1605593971</v>
      </c>
      <c r="D60" s="571">
        <f>SUM(D9:D59)</f>
        <v>1605593970</v>
      </c>
      <c r="E60" s="571">
        <v>0</v>
      </c>
      <c r="F60" s="507">
        <f>B60-E60+C60-D60</f>
        <v>1</v>
      </c>
      <c r="G60" s="573">
        <f t="shared" ref="G60:N60" si="3">SUM(G9:G58)</f>
        <v>1073136402</v>
      </c>
      <c r="H60" s="573">
        <f t="shared" si="3"/>
        <v>0</v>
      </c>
      <c r="I60" s="573">
        <f t="shared" si="3"/>
        <v>0</v>
      </c>
      <c r="J60" s="573">
        <f t="shared" si="3"/>
        <v>-211540</v>
      </c>
      <c r="K60" s="573">
        <f t="shared" si="3"/>
        <v>-132556999</v>
      </c>
      <c r="L60" s="573">
        <f t="shared" si="3"/>
        <v>-900993015</v>
      </c>
      <c r="M60" s="573">
        <f t="shared" si="3"/>
        <v>2340959652</v>
      </c>
      <c r="N60" s="573">
        <f t="shared" si="3"/>
        <v>-2096771926</v>
      </c>
      <c r="O60" s="574">
        <f>SUM(F60:N60)</f>
        <v>283562575</v>
      </c>
    </row>
    <row r="61" spans="1:15" ht="15.75">
      <c r="B61" s="575"/>
      <c r="D61" s="576">
        <f>D60-C60</f>
        <v>-1</v>
      </c>
      <c r="L61" s="470"/>
      <c r="O61" s="577">
        <f>O60-O9</f>
        <v>0</v>
      </c>
    </row>
    <row r="62" spans="1:15">
      <c r="A62" s="578"/>
      <c r="B62" s="578"/>
      <c r="C62" s="578"/>
      <c r="D62" s="470">
        <f>+D53+D44</f>
        <v>-11683346</v>
      </c>
    </row>
    <row r="63" spans="1:15" ht="20.25">
      <c r="A63" s="579" t="s">
        <v>668</v>
      </c>
      <c r="B63" s="580"/>
      <c r="C63" s="580"/>
      <c r="D63" s="581"/>
      <c r="E63" s="581"/>
    </row>
    <row r="64" spans="1:15" ht="15">
      <c r="A64" s="582"/>
      <c r="B64" s="582"/>
      <c r="C64" s="582"/>
      <c r="D64" s="583"/>
      <c r="E64" s="583"/>
    </row>
    <row r="65" spans="1:5" ht="15">
      <c r="A65" s="584" t="s">
        <v>669</v>
      </c>
      <c r="B65" s="585">
        <f>+G60</f>
        <v>1073136402</v>
      </c>
      <c r="C65" s="586"/>
      <c r="D65" s="585"/>
      <c r="E65" s="583"/>
    </row>
    <row r="66" spans="1:5" ht="15">
      <c r="A66" s="584" t="s">
        <v>670</v>
      </c>
      <c r="B66" s="585">
        <f>+H60</f>
        <v>0</v>
      </c>
      <c r="C66" s="586"/>
      <c r="D66" s="585"/>
      <c r="E66" s="583"/>
    </row>
    <row r="67" spans="1:5" ht="15">
      <c r="A67" s="584" t="s">
        <v>671</v>
      </c>
      <c r="B67" s="585">
        <f>+I60</f>
        <v>0</v>
      </c>
      <c r="C67" s="586"/>
      <c r="D67" s="585"/>
      <c r="E67" s="583"/>
    </row>
    <row r="68" spans="1:5" ht="15">
      <c r="A68" s="584" t="s">
        <v>672</v>
      </c>
      <c r="B68" s="585">
        <f>+K60</f>
        <v>-132556999</v>
      </c>
      <c r="C68" s="586"/>
      <c r="D68" s="585"/>
      <c r="E68" s="583"/>
    </row>
    <row r="69" spans="1:5" ht="15">
      <c r="A69" s="584" t="s">
        <v>673</v>
      </c>
      <c r="B69" s="585">
        <f>+L60</f>
        <v>-900993015</v>
      </c>
      <c r="C69" s="586"/>
      <c r="D69" s="585"/>
      <c r="E69" s="583"/>
    </row>
    <row r="70" spans="1:5" ht="15">
      <c r="A70" s="584" t="s">
        <v>587</v>
      </c>
      <c r="B70" s="585">
        <f>+J60</f>
        <v>-211540</v>
      </c>
      <c r="C70" s="586"/>
      <c r="D70" s="585"/>
      <c r="E70" s="583"/>
    </row>
    <row r="71" spans="1:5" ht="15">
      <c r="A71" s="582"/>
      <c r="B71" s="585"/>
      <c r="C71" s="586"/>
      <c r="D71" s="585"/>
      <c r="E71" s="583"/>
    </row>
    <row r="72" spans="1:5" ht="15.75">
      <c r="A72" s="587" t="s">
        <v>668</v>
      </c>
      <c r="B72" s="585"/>
      <c r="C72" s="588">
        <f>SUM(B65:B70)</f>
        <v>39374848</v>
      </c>
      <c r="D72" s="585"/>
      <c r="E72" s="583"/>
    </row>
    <row r="73" spans="1:5" ht="15">
      <c r="A73" s="582"/>
      <c r="B73" s="585"/>
      <c r="C73" s="586"/>
      <c r="D73" s="585"/>
      <c r="E73" s="583"/>
    </row>
    <row r="74" spans="1:5" ht="15">
      <c r="A74" s="584" t="s">
        <v>674</v>
      </c>
      <c r="B74" s="589">
        <f>+M16</f>
        <v>-652838241</v>
      </c>
      <c r="C74" s="586"/>
      <c r="D74" s="585"/>
      <c r="E74" s="583"/>
    </row>
    <row r="75" spans="1:5" ht="15">
      <c r="A75" s="584" t="s">
        <v>675</v>
      </c>
      <c r="B75" s="589">
        <f>+M17+M19</f>
        <v>-7955659</v>
      </c>
      <c r="C75" s="586"/>
      <c r="D75" s="585"/>
      <c r="E75" s="583"/>
    </row>
    <row r="76" spans="1:5" ht="15">
      <c r="A76" s="584" t="s">
        <v>676</v>
      </c>
      <c r="B76" s="589">
        <f>+M15</f>
        <v>3001753552</v>
      </c>
      <c r="C76" s="586"/>
      <c r="D76" s="585"/>
      <c r="E76" s="583"/>
    </row>
    <row r="77" spans="1:5" ht="15">
      <c r="A77" s="584" t="s">
        <v>677</v>
      </c>
      <c r="B77" s="589">
        <v>0</v>
      </c>
      <c r="C77" s="586"/>
      <c r="D77" s="585"/>
      <c r="E77" s="583"/>
    </row>
    <row r="78" spans="1:5" ht="15">
      <c r="A78" s="584" t="s">
        <v>678</v>
      </c>
      <c r="B78" s="589">
        <v>0</v>
      </c>
      <c r="C78" s="586"/>
      <c r="D78" s="585"/>
      <c r="E78" s="583"/>
    </row>
    <row r="79" spans="1:5" ht="15">
      <c r="A79" s="584"/>
      <c r="B79" s="589"/>
      <c r="C79" s="586"/>
      <c r="D79" s="585"/>
      <c r="E79" s="583"/>
    </row>
    <row r="80" spans="1:5" ht="15">
      <c r="A80" s="584"/>
      <c r="B80" s="585">
        <v>0</v>
      </c>
      <c r="C80" s="586"/>
      <c r="D80" s="585"/>
      <c r="E80" s="583"/>
    </row>
    <row r="81" spans="1:5" ht="15">
      <c r="A81" s="582"/>
      <c r="B81" s="585"/>
      <c r="C81" s="586"/>
      <c r="D81" s="585"/>
      <c r="E81" s="583"/>
    </row>
    <row r="82" spans="1:5" ht="15.75">
      <c r="A82" s="587" t="s">
        <v>679</v>
      </c>
      <c r="B82" s="585"/>
      <c r="C82" s="588">
        <f>SUM(B74:B80)</f>
        <v>2340959652</v>
      </c>
      <c r="D82" s="585"/>
      <c r="E82" s="583"/>
    </row>
    <row r="83" spans="1:5" ht="15">
      <c r="A83" s="582"/>
      <c r="B83" s="585"/>
      <c r="C83" s="586"/>
      <c r="D83" s="585"/>
      <c r="E83" s="583"/>
    </row>
    <row r="84" spans="1:5" ht="15.75">
      <c r="A84" s="587" t="s">
        <v>680</v>
      </c>
      <c r="B84" s="585"/>
      <c r="C84" s="586"/>
      <c r="D84" s="585"/>
      <c r="E84" s="583"/>
    </row>
    <row r="85" spans="1:5" ht="15">
      <c r="A85" s="582"/>
      <c r="B85" s="585"/>
      <c r="C85" s="586"/>
      <c r="D85" s="585"/>
      <c r="E85" s="583"/>
    </row>
    <row r="86" spans="1:5" ht="15">
      <c r="A86" s="584" t="s">
        <v>681</v>
      </c>
      <c r="B86" s="585">
        <f>+N25</f>
        <v>-2515771926</v>
      </c>
      <c r="C86" s="586"/>
      <c r="D86" s="585"/>
      <c r="E86" s="583"/>
    </row>
    <row r="87" spans="1:5" ht="15">
      <c r="A87" s="584" t="s">
        <v>682</v>
      </c>
      <c r="B87" s="589">
        <f>+N29</f>
        <v>0</v>
      </c>
      <c r="C87" s="586"/>
      <c r="D87" s="585"/>
      <c r="E87" s="583"/>
    </row>
    <row r="88" spans="1:5" ht="15">
      <c r="A88" s="584" t="s">
        <v>683</v>
      </c>
      <c r="B88" s="585">
        <f>+N32</f>
        <v>419000000</v>
      </c>
      <c r="C88" s="586"/>
      <c r="D88" s="585"/>
      <c r="E88" s="583"/>
    </row>
    <row r="89" spans="1:5" ht="15">
      <c r="A89" s="582"/>
      <c r="B89" s="585"/>
      <c r="C89" s="586"/>
      <c r="D89" s="585"/>
      <c r="E89" s="583"/>
    </row>
    <row r="90" spans="1:5" ht="15.75">
      <c r="A90" s="587" t="s">
        <v>684</v>
      </c>
      <c r="B90" s="585"/>
      <c r="C90" s="588">
        <f>SUM(B86:B88)</f>
        <v>-2096771926</v>
      </c>
      <c r="D90" s="585"/>
      <c r="E90" s="583"/>
    </row>
    <row r="91" spans="1:5" ht="15">
      <c r="A91" s="582"/>
      <c r="B91" s="585"/>
      <c r="C91" s="586"/>
      <c r="D91" s="585"/>
      <c r="E91" s="583"/>
    </row>
    <row r="92" spans="1:5" ht="15.75">
      <c r="A92" s="584" t="s">
        <v>685</v>
      </c>
      <c r="B92" s="585"/>
      <c r="C92" s="586">
        <f>C90+C82+C72</f>
        <v>283562574</v>
      </c>
      <c r="D92" s="585">
        <f>O60</f>
        <v>283562575</v>
      </c>
      <c r="E92" s="590">
        <f>D92-C92</f>
        <v>1</v>
      </c>
    </row>
    <row r="93" spans="1:5" ht="15.75">
      <c r="A93" s="584" t="s">
        <v>686</v>
      </c>
      <c r="B93" s="585"/>
      <c r="C93" s="586">
        <f>+E9</f>
        <v>112935599</v>
      </c>
      <c r="D93" s="585"/>
      <c r="E93" s="590"/>
    </row>
    <row r="94" spans="1:5" ht="15.75">
      <c r="A94" s="587" t="s">
        <v>687</v>
      </c>
      <c r="B94" s="591"/>
      <c r="C94" s="591">
        <f>SUM(C92:C93)</f>
        <v>396498173</v>
      </c>
      <c r="D94" s="585">
        <f>+B9</f>
        <v>396498174</v>
      </c>
      <c r="E94" s="590">
        <f>D94-C94</f>
        <v>1</v>
      </c>
    </row>
    <row r="95" spans="1:5" ht="15">
      <c r="A95" s="583"/>
      <c r="B95" s="583"/>
      <c r="C95" s="583"/>
      <c r="D95" s="583"/>
      <c r="E95" s="583"/>
    </row>
    <row r="96" spans="1:5" ht="15">
      <c r="A96" s="583"/>
      <c r="B96" s="583"/>
      <c r="C96" s="583"/>
      <c r="D96" s="583"/>
      <c r="E96" s="583"/>
    </row>
    <row r="97" spans="1:5" ht="15">
      <c r="A97" s="583"/>
      <c r="B97" s="583"/>
      <c r="C97" s="592"/>
      <c r="D97" s="583"/>
      <c r="E97" s="583"/>
    </row>
    <row r="98" spans="1:5" ht="15">
      <c r="A98" s="583"/>
      <c r="B98" s="583"/>
      <c r="C98" s="583"/>
      <c r="D98" s="583"/>
      <c r="E98" s="583"/>
    </row>
    <row r="99" spans="1:5" ht="15">
      <c r="A99" s="583"/>
      <c r="B99" s="583"/>
      <c r="C99" s="583"/>
      <c r="D99" s="583"/>
      <c r="E99" s="583"/>
    </row>
    <row r="100" spans="1:5" ht="15">
      <c r="A100" s="583"/>
      <c r="B100" s="583"/>
      <c r="C100" s="583"/>
      <c r="D100" s="583"/>
      <c r="E100" s="583"/>
    </row>
    <row r="101" spans="1:5" ht="15">
      <c r="A101" s="583"/>
      <c r="B101" s="583"/>
      <c r="C101" s="583"/>
      <c r="D101" s="583"/>
      <c r="E101" s="583"/>
    </row>
    <row r="102" spans="1:5" ht="15">
      <c r="A102" s="583"/>
      <c r="B102" s="583"/>
      <c r="C102" s="583"/>
      <c r="D102" s="583"/>
      <c r="E102" s="583"/>
    </row>
    <row r="103" spans="1:5" ht="15">
      <c r="A103" s="583"/>
      <c r="B103" s="583"/>
      <c r="C103" s="583"/>
      <c r="D103" s="583"/>
      <c r="E103" s="583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2060"/>
  </sheetPr>
  <dimension ref="C1:F59"/>
  <sheetViews>
    <sheetView showGridLines="0" topLeftCell="A15" zoomScale="110" zoomScaleNormal="110" workbookViewId="0">
      <selection activeCell="A3" sqref="A3"/>
    </sheetView>
  </sheetViews>
  <sheetFormatPr baseColWidth="10" defaultColWidth="11.42578125" defaultRowHeight="12"/>
  <cols>
    <col min="1" max="1" width="11.42578125" style="181"/>
    <col min="2" max="2" width="5.7109375" style="181" customWidth="1"/>
    <col min="3" max="3" width="70.28515625" style="181" customWidth="1"/>
    <col min="4" max="5" width="25.7109375" style="181" customWidth="1"/>
    <col min="6" max="6" width="14.28515625" style="181" bestFit="1" customWidth="1"/>
    <col min="7" max="16384" width="11.42578125" style="181"/>
  </cols>
  <sheetData>
    <row r="1" spans="3:6" ht="55.35" customHeight="1">
      <c r="C1" s="684"/>
      <c r="D1" s="684"/>
      <c r="E1" s="684"/>
    </row>
    <row r="2" spans="3:6">
      <c r="C2" s="684"/>
      <c r="D2" s="684"/>
      <c r="E2" s="684"/>
    </row>
    <row r="3" spans="3:6">
      <c r="C3" s="684" t="str">
        <f>+INDICE!B2</f>
        <v>TRADERS PRO CASA DE BOLSA S.A.</v>
      </c>
      <c r="D3" s="684"/>
      <c r="E3" s="684"/>
    </row>
    <row r="4" spans="3:6">
      <c r="C4" s="684" t="s">
        <v>688</v>
      </c>
      <c r="D4" s="684"/>
      <c r="E4" s="684"/>
    </row>
    <row r="5" spans="3:6" ht="19.5" customHeight="1">
      <c r="C5" s="692" t="s">
        <v>689</v>
      </c>
      <c r="D5" s="692"/>
      <c r="E5" s="692"/>
    </row>
    <row r="6" spans="3:6">
      <c r="C6" s="696" t="s">
        <v>384</v>
      </c>
      <c r="D6" s="696"/>
      <c r="E6" s="696"/>
    </row>
    <row r="7" spans="3:6">
      <c r="C7" s="294"/>
      <c r="D7" s="295" t="str">
        <f>+'ESTADOS DE RESULTADOS 31 12 22'!E8</f>
        <v>PERIODO ACTUAL 31/12/ 2022</v>
      </c>
      <c r="E7" s="295" t="str">
        <f>+'ESTADOS DE RESULTADOS 31 12 22'!F8</f>
        <v>PERIODO ANTERIOR 31/12/2021</v>
      </c>
    </row>
    <row r="8" spans="3:6">
      <c r="C8" s="189" t="s">
        <v>690</v>
      </c>
      <c r="D8" s="296"/>
      <c r="E8" s="297"/>
    </row>
    <row r="9" spans="3:6" ht="12" customHeight="1">
      <c r="C9" s="199"/>
      <c r="D9" s="264"/>
      <c r="E9" s="298"/>
      <c r="F9" s="240"/>
    </row>
    <row r="10" spans="3:6">
      <c r="C10" s="199" t="s">
        <v>691</v>
      </c>
      <c r="D10" s="298">
        <f>+'Flujo de TP Calculo DIC'!B65</f>
        <v>1073136402</v>
      </c>
      <c r="E10" s="298">
        <v>103987212</v>
      </c>
      <c r="F10" s="240"/>
    </row>
    <row r="11" spans="3:6" ht="12.6" customHeight="1">
      <c r="C11" s="199" t="s">
        <v>692</v>
      </c>
      <c r="D11" s="298">
        <f>+'Flujo de TP Calculo DIC'!B68</f>
        <v>-132556999</v>
      </c>
      <c r="E11" s="298">
        <v>-9557107</v>
      </c>
    </row>
    <row r="12" spans="3:6">
      <c r="C12" s="199" t="s">
        <v>693</v>
      </c>
      <c r="D12" s="298">
        <f>+'Flujo de TP Calculo DIC'!B66</f>
        <v>0</v>
      </c>
      <c r="E12" s="298">
        <v>126407905</v>
      </c>
    </row>
    <row r="13" spans="3:6">
      <c r="C13" s="199"/>
      <c r="D13" s="298"/>
      <c r="E13" s="298"/>
    </row>
    <row r="14" spans="3:6">
      <c r="C14" s="299" t="s">
        <v>694</v>
      </c>
      <c r="D14" s="300"/>
      <c r="E14" s="300"/>
    </row>
    <row r="15" spans="3:6">
      <c r="C15" s="299" t="s">
        <v>695</v>
      </c>
      <c r="D15" s="301">
        <f>SUM(D10:D13)</f>
        <v>940579403</v>
      </c>
      <c r="E15" s="301">
        <v>220838010</v>
      </c>
    </row>
    <row r="16" spans="3:6">
      <c r="C16" s="302"/>
      <c r="D16" s="300"/>
      <c r="E16" s="300"/>
    </row>
    <row r="17" spans="3:5">
      <c r="C17" s="299" t="s">
        <v>696</v>
      </c>
      <c r="D17" s="300"/>
      <c r="E17" s="300"/>
    </row>
    <row r="18" spans="3:5">
      <c r="C18" s="302"/>
      <c r="D18" s="300"/>
      <c r="E18" s="300"/>
    </row>
    <row r="19" spans="3:5">
      <c r="C19" s="302" t="s">
        <v>697</v>
      </c>
      <c r="D19" s="300">
        <v>0</v>
      </c>
      <c r="E19" s="300">
        <v>0</v>
      </c>
    </row>
    <row r="20" spans="3:5">
      <c r="C20" s="302"/>
      <c r="D20" s="317">
        <f>SUM(D18:D19)</f>
        <v>0</v>
      </c>
      <c r="E20" s="301">
        <v>0</v>
      </c>
    </row>
    <row r="21" spans="3:5">
      <c r="C21" s="299" t="s">
        <v>698</v>
      </c>
      <c r="D21" s="300"/>
      <c r="E21" s="300"/>
    </row>
    <row r="22" spans="3:5">
      <c r="C22" s="302" t="s">
        <v>699</v>
      </c>
      <c r="D22" s="300">
        <f>+'Flujo de TP Calculo DIC'!B69</f>
        <v>-900993015</v>
      </c>
      <c r="E22" s="300">
        <v>-360755519</v>
      </c>
    </row>
    <row r="23" spans="3:5">
      <c r="C23" s="302"/>
      <c r="D23" s="300"/>
      <c r="E23" s="300"/>
    </row>
    <row r="24" spans="3:5">
      <c r="C24" s="299" t="s">
        <v>700</v>
      </c>
      <c r="D24" s="317">
        <f>D15+D20+D22</f>
        <v>39586388</v>
      </c>
      <c r="E24" s="301">
        <v>-139917509</v>
      </c>
    </row>
    <row r="25" spans="3:5">
      <c r="C25" s="302"/>
      <c r="D25" s="300"/>
      <c r="E25" s="300"/>
    </row>
    <row r="26" spans="3:5">
      <c r="C26" s="302" t="s">
        <v>587</v>
      </c>
      <c r="D26" s="300">
        <f>+'Flujo de TP Calculo DIC'!B70</f>
        <v>-211540</v>
      </c>
      <c r="E26" s="300">
        <v>0</v>
      </c>
    </row>
    <row r="27" spans="3:5">
      <c r="C27" s="302"/>
      <c r="D27" s="300"/>
      <c r="E27" s="300"/>
    </row>
    <row r="28" spans="3:5">
      <c r="C28" s="299" t="s">
        <v>701</v>
      </c>
      <c r="D28" s="301">
        <f>+D24+D26</f>
        <v>39374848</v>
      </c>
      <c r="E28" s="301">
        <v>-139917509</v>
      </c>
    </row>
    <row r="29" spans="3:5">
      <c r="C29" s="299"/>
      <c r="D29" s="303"/>
      <c r="E29" s="303"/>
    </row>
    <row r="30" spans="3:5">
      <c r="C30" s="299" t="s">
        <v>702</v>
      </c>
      <c r="D30" s="300"/>
      <c r="E30" s="300"/>
    </row>
    <row r="31" spans="3:5">
      <c r="C31" s="299"/>
      <c r="D31" s="300"/>
      <c r="E31" s="300"/>
    </row>
    <row r="32" spans="3:5">
      <c r="C32" s="302" t="s">
        <v>703</v>
      </c>
      <c r="D32" s="300">
        <v>0</v>
      </c>
      <c r="E32" s="300">
        <v>-900000000</v>
      </c>
    </row>
    <row r="33" spans="3:5">
      <c r="C33" s="302" t="s">
        <v>704</v>
      </c>
      <c r="D33" s="300">
        <f>'Flujo de TP Calculo DIC'!B74+'Flujo de TP Calculo DIC'!B76</f>
        <v>2348915311</v>
      </c>
      <c r="E33" s="300">
        <v>-11238534504</v>
      </c>
    </row>
    <row r="34" spans="3:5">
      <c r="C34" s="302" t="s">
        <v>705</v>
      </c>
      <c r="D34" s="300" t="s">
        <v>706</v>
      </c>
      <c r="E34" s="300" t="s">
        <v>706</v>
      </c>
    </row>
    <row r="35" spans="3:5">
      <c r="C35" s="302" t="s">
        <v>707</v>
      </c>
      <c r="D35" s="300">
        <f>'Flujo de TP Calculo DIC'!B75</f>
        <v>-7955659</v>
      </c>
      <c r="E35" s="300">
        <v>-5276772</v>
      </c>
    </row>
    <row r="36" spans="3:5">
      <c r="C36" s="302" t="s">
        <v>676</v>
      </c>
      <c r="D36" s="300">
        <v>0</v>
      </c>
      <c r="E36" s="300">
        <v>0</v>
      </c>
    </row>
    <row r="37" spans="3:5">
      <c r="C37" s="302" t="s">
        <v>677</v>
      </c>
      <c r="D37" s="300" t="s">
        <v>706</v>
      </c>
      <c r="E37" s="300" t="s">
        <v>706</v>
      </c>
    </row>
    <row r="38" spans="3:5">
      <c r="C38" s="302" t="s">
        <v>678</v>
      </c>
      <c r="D38" s="300" t="s">
        <v>706</v>
      </c>
      <c r="E38" s="300" t="s">
        <v>706</v>
      </c>
    </row>
    <row r="39" spans="3:5">
      <c r="C39" s="302"/>
      <c r="D39" s="300"/>
      <c r="E39" s="300"/>
    </row>
    <row r="40" spans="3:5">
      <c r="C40" s="299" t="s">
        <v>708</v>
      </c>
      <c r="D40" s="301">
        <f>SUM(D32:D38)</f>
        <v>2340959652</v>
      </c>
      <c r="E40" s="301">
        <v>-12143811276</v>
      </c>
    </row>
    <row r="41" spans="3:5">
      <c r="C41" s="299"/>
      <c r="D41" s="303"/>
      <c r="E41" s="303"/>
    </row>
    <row r="42" spans="3:5">
      <c r="C42" s="299" t="s">
        <v>709</v>
      </c>
      <c r="D42" s="300"/>
      <c r="E42" s="300"/>
    </row>
    <row r="43" spans="3:5">
      <c r="C43" s="299"/>
      <c r="D43" s="300"/>
      <c r="E43" s="300"/>
    </row>
    <row r="44" spans="3:5">
      <c r="C44" s="302" t="s">
        <v>710</v>
      </c>
      <c r="D44" s="300">
        <f>+'Flujo de TP Calculo DIC'!B88</f>
        <v>419000000</v>
      </c>
      <c r="E44" s="300">
        <v>3386000000</v>
      </c>
    </row>
    <row r="45" spans="3:5">
      <c r="C45" s="302" t="s">
        <v>711</v>
      </c>
      <c r="D45" s="300">
        <f>+'Flujo de TP Calculo DIC'!B86+1</f>
        <v>-2515771925</v>
      </c>
      <c r="E45" s="300">
        <v>9010664384</v>
      </c>
    </row>
    <row r="46" spans="3:5">
      <c r="C46" s="302" t="s">
        <v>682</v>
      </c>
      <c r="D46" s="300">
        <v>0</v>
      </c>
      <c r="E46" s="300">
        <v>0</v>
      </c>
    </row>
    <row r="47" spans="3:5" ht="12.75" customHeight="1">
      <c r="C47" s="302" t="s">
        <v>580</v>
      </c>
      <c r="D47" s="300">
        <v>0</v>
      </c>
      <c r="E47" s="300" t="s">
        <v>706</v>
      </c>
    </row>
    <row r="48" spans="3:5" ht="12.75" customHeight="1">
      <c r="C48" s="302"/>
      <c r="D48" s="300"/>
      <c r="E48" s="300"/>
    </row>
    <row r="49" spans="3:6" ht="12.75" customHeight="1">
      <c r="C49" s="299" t="s">
        <v>712</v>
      </c>
      <c r="D49" s="301">
        <f>SUM(D44:D48)</f>
        <v>-2096771925</v>
      </c>
      <c r="E49" s="301">
        <v>12396664384</v>
      </c>
    </row>
    <row r="50" spans="3:6">
      <c r="C50" s="302"/>
      <c r="D50" s="300"/>
      <c r="E50" s="300"/>
    </row>
    <row r="51" spans="3:6">
      <c r="C51" s="299" t="s">
        <v>713</v>
      </c>
      <c r="D51" s="300"/>
      <c r="E51" s="300"/>
    </row>
    <row r="52" spans="3:6">
      <c r="C52" s="299"/>
      <c r="D52" s="300"/>
      <c r="E52" s="300"/>
    </row>
    <row r="53" spans="3:6" ht="16.5" customHeight="1">
      <c r="C53" s="302" t="s">
        <v>714</v>
      </c>
      <c r="D53" s="303">
        <f>+D24+D26+D40+D49</f>
        <v>283562575</v>
      </c>
      <c r="E53" s="303">
        <v>112935599</v>
      </c>
      <c r="F53" s="243"/>
    </row>
    <row r="54" spans="3:6">
      <c r="C54" s="304" t="s">
        <v>715</v>
      </c>
      <c r="D54" s="305">
        <f>+'BALANCE GRAL 31 12 22'!E13</f>
        <v>112935599</v>
      </c>
      <c r="E54" s="305">
        <v>0</v>
      </c>
    </row>
    <row r="55" spans="3:6" ht="12.75" thickBot="1">
      <c r="C55" s="306" t="s">
        <v>716</v>
      </c>
      <c r="D55" s="307">
        <f>D53+D54</f>
        <v>396498174</v>
      </c>
      <c r="E55" s="307">
        <f>E53+E54</f>
        <v>112935599</v>
      </c>
    </row>
    <row r="56" spans="3:6" ht="12.75" thickTop="1">
      <c r="D56" s="232"/>
    </row>
    <row r="57" spans="3:6" hidden="1">
      <c r="D57" s="293">
        <f>+D55-'BALANCE GRAL 31 12 22'!D13</f>
        <v>0</v>
      </c>
    </row>
    <row r="58" spans="3:6">
      <c r="C58" s="694" t="s">
        <v>504</v>
      </c>
      <c r="D58" s="694"/>
      <c r="E58" s="694"/>
      <c r="F58" s="398"/>
    </row>
    <row r="59" spans="3:6">
      <c r="D59" s="293">
        <f>+'BALANCE GRAL 31 12 22'!D13-D55</f>
        <v>0</v>
      </c>
      <c r="E59" s="293">
        <f>+'BALANCE GRAL 31 12 22'!E13-E55</f>
        <v>0</v>
      </c>
    </row>
  </sheetData>
  <sheetProtection algorithmName="SHA-512" hashValue="LrWV/bIrjNnA5u4kK1fe4S75W+X46AUmbMWhd7zgx3nl47cas6WxA6azRV+T2uSOv6pE3mdF1pl0A0Z/l/xx4w==" saltValue="/OhwnxeQ/lpg3Eu5VqXNUg==" spinCount="100000" sheet="1" objects="1" scenarios="1"/>
  <mergeCells count="7">
    <mergeCell ref="C58:E58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002060"/>
  </sheetPr>
  <dimension ref="B1:M34"/>
  <sheetViews>
    <sheetView showGridLines="0" topLeftCell="F15" zoomScale="110" zoomScaleNormal="110" workbookViewId="0">
      <selection activeCell="A3" sqref="A3"/>
    </sheetView>
  </sheetViews>
  <sheetFormatPr baseColWidth="10" defaultColWidth="11.42578125" defaultRowHeight="12"/>
  <cols>
    <col min="1" max="1" width="5.28515625" style="28" customWidth="1"/>
    <col min="2" max="2" width="40.28515625" style="28" customWidth="1"/>
    <col min="3" max="8" width="15.7109375" style="42" customWidth="1"/>
    <col min="9" max="10" width="15.7109375" style="28" customWidth="1"/>
    <col min="11" max="11" width="15" style="28" bestFit="1" customWidth="1"/>
    <col min="12" max="12" width="11.7109375" style="28" bestFit="1" customWidth="1"/>
    <col min="13" max="16384" width="11.42578125" style="28"/>
  </cols>
  <sheetData>
    <row r="1" spans="2:11" ht="55.35" customHeight="1"/>
    <row r="3" spans="2:11">
      <c r="B3" s="684" t="str">
        <f>+INDICE!B2</f>
        <v>TRADERS PRO CASA DE BOLSA S.A.</v>
      </c>
      <c r="C3" s="684"/>
      <c r="D3" s="684"/>
      <c r="E3" s="684"/>
      <c r="F3" s="684"/>
      <c r="G3" s="684"/>
      <c r="H3" s="684"/>
      <c r="I3" s="684"/>
      <c r="J3" s="684"/>
      <c r="K3" s="684"/>
    </row>
    <row r="4" spans="2:11">
      <c r="B4" s="684" t="s">
        <v>717</v>
      </c>
      <c r="C4" s="684"/>
      <c r="D4" s="684"/>
      <c r="E4" s="684"/>
      <c r="F4" s="684"/>
      <c r="G4" s="684"/>
      <c r="H4" s="684"/>
      <c r="I4" s="684"/>
      <c r="J4" s="684"/>
      <c r="K4" s="684"/>
    </row>
    <row r="5" spans="2:11">
      <c r="B5" s="684" t="s">
        <v>718</v>
      </c>
      <c r="C5" s="684"/>
      <c r="D5" s="684"/>
      <c r="E5" s="684"/>
      <c r="F5" s="684"/>
      <c r="G5" s="684"/>
      <c r="H5" s="684"/>
      <c r="I5" s="684"/>
      <c r="J5" s="684"/>
      <c r="K5" s="684"/>
    </row>
    <row r="6" spans="2:11" ht="15" customHeight="1">
      <c r="B6" s="693" t="s">
        <v>384</v>
      </c>
      <c r="C6" s="693"/>
      <c r="D6" s="693"/>
      <c r="E6" s="693"/>
      <c r="F6" s="693"/>
      <c r="G6" s="693"/>
      <c r="H6" s="693"/>
      <c r="I6" s="693"/>
      <c r="J6" s="693"/>
      <c r="K6" s="693"/>
    </row>
    <row r="7" spans="2:11" ht="15" customHeight="1" thickBot="1">
      <c r="B7" s="228"/>
      <c r="C7" s="228"/>
      <c r="D7" s="28"/>
      <c r="E7" s="28"/>
      <c r="F7" s="28"/>
      <c r="G7" s="28"/>
      <c r="H7" s="28"/>
    </row>
    <row r="8" spans="2:11" s="247" customFormat="1" ht="13.5" customHeight="1" thickBot="1">
      <c r="B8" s="228"/>
      <c r="C8" s="697" t="s">
        <v>473</v>
      </c>
      <c r="D8" s="698"/>
      <c r="E8" s="697" t="s">
        <v>479</v>
      </c>
      <c r="F8" s="698"/>
      <c r="G8" s="699"/>
      <c r="H8" s="698" t="s">
        <v>603</v>
      </c>
      <c r="I8" s="700"/>
      <c r="J8" s="701" t="s">
        <v>118</v>
      </c>
      <c r="K8" s="699"/>
    </row>
    <row r="9" spans="2:11" s="247" customFormat="1" ht="36.75" thickBot="1">
      <c r="B9" s="248" t="s">
        <v>595</v>
      </c>
      <c r="C9" s="249" t="s">
        <v>719</v>
      </c>
      <c r="D9" s="250" t="s">
        <v>720</v>
      </c>
      <c r="E9" s="251" t="s">
        <v>721</v>
      </c>
      <c r="F9" s="252" t="s">
        <v>722</v>
      </c>
      <c r="G9" s="250" t="s">
        <v>723</v>
      </c>
      <c r="H9" s="251" t="s">
        <v>724</v>
      </c>
      <c r="I9" s="253" t="s">
        <v>725</v>
      </c>
      <c r="J9" s="319" t="str">
        <f>+'ESTADOS DE RESULTADOS 31 12 22'!E8</f>
        <v>PERIODO ACTUAL 31/12/ 2022</v>
      </c>
      <c r="K9" s="320" t="str">
        <f>+'ESTADOS DE RESULTADOS 31 12 22'!F8</f>
        <v>PERIODO ANTERIOR 31/12/2021</v>
      </c>
    </row>
    <row r="10" spans="2:11" s="119" customFormat="1">
      <c r="B10" s="254"/>
      <c r="C10" s="255"/>
      <c r="D10" s="256"/>
      <c r="E10" s="255"/>
      <c r="F10" s="257"/>
      <c r="G10" s="256"/>
      <c r="H10" s="255"/>
      <c r="I10" s="256"/>
      <c r="J10" s="255"/>
      <c r="K10" s="256"/>
    </row>
    <row r="11" spans="2:11" s="119" customFormat="1" ht="24" customHeight="1">
      <c r="B11" s="254" t="s">
        <v>726</v>
      </c>
      <c r="C11" s="255">
        <f>+'BALANCE GRAL 31 12 22'!H62</f>
        <v>0</v>
      </c>
      <c r="D11" s="256">
        <f>+'BALANCE GRAL 31 12 22'!H61</f>
        <v>3386000000</v>
      </c>
      <c r="E11" s="255">
        <f>+'BALANCE GRAL 31 12 22'!H65</f>
        <v>0</v>
      </c>
      <c r="F11" s="257">
        <f>+'BALANCE GRAL 31 12 22'!H67</f>
        <v>0</v>
      </c>
      <c r="G11" s="256">
        <f>+'BALANCE GRAL 31 12 22'!H66</f>
        <v>0</v>
      </c>
      <c r="H11" s="258">
        <f>+'BALANCE GRAL 31 12 22'!H72</f>
        <v>0</v>
      </c>
      <c r="I11" s="256">
        <f>+'BALANCE GRAL 31 12 22'!H73</f>
        <v>-9529900.7300000004</v>
      </c>
      <c r="J11" s="259">
        <f>SUM(C11:I11)</f>
        <v>3376470099.27</v>
      </c>
      <c r="K11" s="260">
        <v>0</v>
      </c>
    </row>
    <row r="12" spans="2:11" s="119" customFormat="1" ht="24" customHeight="1">
      <c r="B12" s="254"/>
      <c r="C12" s="255"/>
      <c r="D12" s="256"/>
      <c r="E12" s="255"/>
      <c r="F12" s="257"/>
      <c r="G12" s="256"/>
      <c r="H12" s="258"/>
      <c r="I12" s="256"/>
      <c r="J12" s="259">
        <f>SUM(C12:I12)</f>
        <v>0</v>
      </c>
      <c r="K12" s="260">
        <v>0</v>
      </c>
    </row>
    <row r="13" spans="2:11" s="119" customFormat="1" ht="24" customHeight="1">
      <c r="B13" s="261" t="s">
        <v>727</v>
      </c>
      <c r="C13" s="255"/>
      <c r="D13" s="256"/>
      <c r="E13" s="255"/>
      <c r="F13" s="262"/>
      <c r="G13" s="263"/>
      <c r="H13" s="258"/>
      <c r="I13" s="256"/>
      <c r="J13" s="259">
        <f t="shared" ref="J13:J24" si="0">SUM(C13:I13)</f>
        <v>0</v>
      </c>
      <c r="K13" s="260">
        <v>0</v>
      </c>
    </row>
    <row r="14" spans="2:11" s="119" customFormat="1" ht="24" customHeight="1">
      <c r="B14" s="254"/>
      <c r="C14" s="255"/>
      <c r="D14" s="256"/>
      <c r="E14" s="255"/>
      <c r="F14" s="262"/>
      <c r="G14" s="263"/>
      <c r="H14" s="258"/>
      <c r="I14" s="256"/>
      <c r="J14" s="259">
        <f t="shared" si="0"/>
        <v>0</v>
      </c>
      <c r="K14" s="260">
        <v>0</v>
      </c>
    </row>
    <row r="15" spans="2:11" s="119" customFormat="1" ht="24" customHeight="1">
      <c r="B15" s="254" t="s">
        <v>728</v>
      </c>
      <c r="C15" s="255" t="s">
        <v>729</v>
      </c>
      <c r="D15" s="256" t="s">
        <v>729</v>
      </c>
      <c r="E15" s="258">
        <f>+E27-E11</f>
        <v>0</v>
      </c>
      <c r="F15" s="262">
        <v>0</v>
      </c>
      <c r="G15" s="263" t="s">
        <v>729</v>
      </c>
      <c r="H15" s="258" t="s">
        <v>729</v>
      </c>
      <c r="I15" s="256" t="s">
        <v>729</v>
      </c>
      <c r="J15" s="259">
        <f t="shared" si="0"/>
        <v>0</v>
      </c>
      <c r="K15" s="260">
        <v>0</v>
      </c>
    </row>
    <row r="16" spans="2:11" s="119" customFormat="1" ht="24" customHeight="1">
      <c r="B16" s="254"/>
      <c r="C16" s="255"/>
      <c r="D16" s="256"/>
      <c r="E16" s="258"/>
      <c r="F16" s="262"/>
      <c r="G16" s="263"/>
      <c r="H16" s="258"/>
      <c r="I16" s="256"/>
      <c r="J16" s="259">
        <f t="shared" si="0"/>
        <v>0</v>
      </c>
      <c r="K16" s="260">
        <v>0</v>
      </c>
    </row>
    <row r="17" spans="2:13" s="119" customFormat="1" ht="24" customHeight="1">
      <c r="B17" s="254" t="s">
        <v>730</v>
      </c>
      <c r="C17" s="255" t="s">
        <v>729</v>
      </c>
      <c r="D17" s="256" t="s">
        <v>729</v>
      </c>
      <c r="E17" s="258" t="s">
        <v>729</v>
      </c>
      <c r="F17" s="264">
        <v>0</v>
      </c>
      <c r="G17" s="263">
        <f>+G27-G11-G25</f>
        <v>0</v>
      </c>
      <c r="H17" s="258" t="s">
        <v>729</v>
      </c>
      <c r="I17" s="256" t="s">
        <v>729</v>
      </c>
      <c r="J17" s="259">
        <f t="shared" si="0"/>
        <v>0</v>
      </c>
      <c r="K17" s="260">
        <v>0</v>
      </c>
    </row>
    <row r="18" spans="2:13" s="119" customFormat="1" ht="24" customHeight="1">
      <c r="B18" s="254"/>
      <c r="C18" s="255"/>
      <c r="D18" s="256"/>
      <c r="E18" s="258"/>
      <c r="F18" s="262"/>
      <c r="G18" s="263"/>
      <c r="H18" s="258"/>
      <c r="I18" s="256"/>
      <c r="J18" s="259">
        <f t="shared" si="0"/>
        <v>0</v>
      </c>
      <c r="K18" s="260">
        <v>0</v>
      </c>
    </row>
    <row r="19" spans="2:13" s="119" customFormat="1" ht="24" customHeight="1">
      <c r="B19" s="254" t="s">
        <v>111</v>
      </c>
      <c r="C19" s="255" t="s">
        <v>729</v>
      </c>
      <c r="D19" s="256" t="s">
        <v>729</v>
      </c>
      <c r="E19" s="258" t="s">
        <v>729</v>
      </c>
      <c r="F19" s="264" t="s">
        <v>729</v>
      </c>
      <c r="G19" s="263" t="s">
        <v>729</v>
      </c>
      <c r="H19" s="258" t="s">
        <v>729</v>
      </c>
      <c r="I19" s="256" t="s">
        <v>729</v>
      </c>
      <c r="J19" s="259">
        <f t="shared" si="0"/>
        <v>0</v>
      </c>
      <c r="K19" s="260">
        <v>0</v>
      </c>
    </row>
    <row r="20" spans="2:13" s="119" customFormat="1" ht="24" customHeight="1">
      <c r="B20" s="254"/>
      <c r="C20" s="255"/>
      <c r="D20" s="256"/>
      <c r="E20" s="258"/>
      <c r="F20" s="264"/>
      <c r="G20" s="263"/>
      <c r="H20" s="258"/>
      <c r="I20" s="256"/>
      <c r="J20" s="259">
        <f t="shared" si="0"/>
        <v>0</v>
      </c>
      <c r="K20" s="260">
        <v>0</v>
      </c>
    </row>
    <row r="21" spans="2:13" s="119" customFormat="1" ht="24" customHeight="1">
      <c r="B21" s="254" t="s">
        <v>731</v>
      </c>
      <c r="C21" s="255">
        <v>0</v>
      </c>
      <c r="E21" s="258">
        <v>0</v>
      </c>
      <c r="F21" s="264" t="s">
        <v>729</v>
      </c>
      <c r="G21" s="263" t="s">
        <v>729</v>
      </c>
      <c r="H21" s="258" t="s">
        <v>729</v>
      </c>
      <c r="I21" s="256" t="s">
        <v>729</v>
      </c>
      <c r="J21" s="259">
        <f t="shared" si="0"/>
        <v>0</v>
      </c>
      <c r="K21" s="260">
        <v>0</v>
      </c>
    </row>
    <row r="22" spans="2:13" s="119" customFormat="1" ht="24" customHeight="1">
      <c r="B22" s="254"/>
      <c r="C22" s="255"/>
      <c r="D22" s="256"/>
      <c r="E22" s="258"/>
      <c r="F22" s="264"/>
      <c r="G22" s="263"/>
      <c r="H22" s="258"/>
      <c r="I22" s="256"/>
      <c r="J22" s="259">
        <f t="shared" si="0"/>
        <v>0</v>
      </c>
      <c r="K22" s="260">
        <v>0</v>
      </c>
    </row>
    <row r="23" spans="2:13" s="119" customFormat="1" ht="24" customHeight="1">
      <c r="B23" s="254" t="s">
        <v>732</v>
      </c>
      <c r="C23" s="255" t="s">
        <v>729</v>
      </c>
      <c r="D23" s="256">
        <v>0</v>
      </c>
      <c r="E23" s="258" t="s">
        <v>729</v>
      </c>
      <c r="F23" s="264" t="s">
        <v>729</v>
      </c>
      <c r="G23" s="263" t="s">
        <v>729</v>
      </c>
      <c r="H23" s="258" t="s">
        <v>729</v>
      </c>
      <c r="I23" s="256">
        <v>0</v>
      </c>
      <c r="J23" s="259">
        <f t="shared" si="0"/>
        <v>0</v>
      </c>
      <c r="K23" s="256">
        <v>0</v>
      </c>
    </row>
    <row r="24" spans="2:13" s="119" customFormat="1" ht="24" customHeight="1">
      <c r="B24" s="254"/>
      <c r="C24" s="255"/>
      <c r="D24" s="256"/>
      <c r="E24" s="258"/>
      <c r="F24" s="262"/>
      <c r="G24" s="263"/>
      <c r="H24" s="258"/>
      <c r="I24" s="256"/>
      <c r="J24" s="259">
        <f t="shared" si="0"/>
        <v>0</v>
      </c>
      <c r="K24" s="260">
        <v>0</v>
      </c>
    </row>
    <row r="25" spans="2:13" s="119" customFormat="1" ht="24" customHeight="1">
      <c r="B25" s="254" t="s">
        <v>733</v>
      </c>
      <c r="C25" s="255">
        <v>0</v>
      </c>
      <c r="D25" s="256">
        <f>+D27-D11</f>
        <v>419000000</v>
      </c>
      <c r="E25" s="258">
        <v>0</v>
      </c>
      <c r="F25" s="264">
        <f>-F28</f>
        <v>0</v>
      </c>
      <c r="G25" s="263">
        <f>+G27-G11</f>
        <v>0</v>
      </c>
      <c r="H25" s="258">
        <f>-I25</f>
        <v>9529900.7300000004</v>
      </c>
      <c r="I25" s="256">
        <f>+I11</f>
        <v>-9529900.7300000004</v>
      </c>
      <c r="J25" s="259">
        <f>SUM(C25:I25)</f>
        <v>419000000</v>
      </c>
      <c r="K25" s="260">
        <v>3386000000</v>
      </c>
    </row>
    <row r="26" spans="2:13" s="119" customFormat="1" ht="24" customHeight="1" thickBot="1">
      <c r="B26" s="254" t="s">
        <v>494</v>
      </c>
      <c r="C26" s="265" t="s">
        <v>729</v>
      </c>
      <c r="D26" s="266" t="s">
        <v>729</v>
      </c>
      <c r="E26" s="265" t="s">
        <v>729</v>
      </c>
      <c r="F26" s="267">
        <f>+F27</f>
        <v>102000000</v>
      </c>
      <c r="G26" s="266" t="s">
        <v>729</v>
      </c>
      <c r="H26" s="268"/>
      <c r="I26" s="266">
        <f>+I27</f>
        <v>-169147450.69999999</v>
      </c>
      <c r="J26" s="259">
        <f>SUM(C26:I26)</f>
        <v>-67147450.699999988</v>
      </c>
      <c r="K26" s="269">
        <f>-9318361.73-211539</f>
        <v>-9529900.7300000004</v>
      </c>
    </row>
    <row r="27" spans="2:13" s="119" customFormat="1" ht="24" customHeight="1" thickBot="1">
      <c r="B27" s="638" t="str">
        <f>+INDICE!I2</f>
        <v>Total al  31/12/2022</v>
      </c>
      <c r="C27" s="270">
        <f>+'BALANCE GRAL 31 12 22'!G62</f>
        <v>0</v>
      </c>
      <c r="D27" s="271">
        <f>+'BALANCE GRAL 31 12 22'!G61</f>
        <v>3805000000</v>
      </c>
      <c r="E27" s="272">
        <f>+'BALANCE GRAL 31 12 22'!G65</f>
        <v>0</v>
      </c>
      <c r="F27" s="271">
        <f>+'BALANCE GRAL 31 12 22'!G67</f>
        <v>102000000</v>
      </c>
      <c r="G27" s="273">
        <f>+'BALANCE GRAL 31 12 22'!G66</f>
        <v>0</v>
      </c>
      <c r="H27" s="270">
        <f>+'BALANCE GRAL 31 12 22'!G72</f>
        <v>-9529901.7300000004</v>
      </c>
      <c r="I27" s="271">
        <f>+'BALANCE GRAL 31 12 22'!G73</f>
        <v>-169147450.69999999</v>
      </c>
      <c r="J27" s="274">
        <f>SUM(C27:I27)</f>
        <v>3728322647.5700002</v>
      </c>
      <c r="K27" s="275">
        <f>SUM(K11:K26)</f>
        <v>3376470099.27</v>
      </c>
      <c r="L27" s="145"/>
      <c r="M27" s="145"/>
    </row>
    <row r="28" spans="2:13" s="119" customFormat="1" ht="24" customHeight="1" thickBot="1">
      <c r="B28" s="638" t="str">
        <f>+INDICE!J2</f>
        <v>Total al  30/12/2021</v>
      </c>
      <c r="C28" s="276">
        <v>0</v>
      </c>
      <c r="D28" s="276">
        <v>3386000000</v>
      </c>
      <c r="E28" s="276">
        <v>0</v>
      </c>
      <c r="F28" s="276">
        <v>0</v>
      </c>
      <c r="G28" s="276">
        <v>0</v>
      </c>
      <c r="H28" s="276">
        <v>0</v>
      </c>
      <c r="I28" s="276">
        <f>-9318361.73-211539</f>
        <v>-9529900.7300000004</v>
      </c>
      <c r="J28" s="277">
        <v>0</v>
      </c>
      <c r="K28" s="274">
        <f>SUM(D28:J28)</f>
        <v>3376470099.27</v>
      </c>
    </row>
    <row r="30" spans="2:13" hidden="1">
      <c r="D30" s="42">
        <f>SUM(D11:D26)</f>
        <v>3805000000</v>
      </c>
      <c r="E30" s="42">
        <f t="shared" ref="E30:J30" si="1">SUM(E11:E26)</f>
        <v>0</v>
      </c>
      <c r="F30" s="42">
        <f t="shared" si="1"/>
        <v>102000000</v>
      </c>
      <c r="G30" s="42">
        <f t="shared" si="1"/>
        <v>0</v>
      </c>
      <c r="H30" s="42">
        <f t="shared" si="1"/>
        <v>9529900.7300000004</v>
      </c>
      <c r="I30" s="42">
        <f t="shared" si="1"/>
        <v>-188207252.16</v>
      </c>
      <c r="J30" s="42">
        <f t="shared" si="1"/>
        <v>3728322648.5700002</v>
      </c>
      <c r="K30" s="58">
        <f>+J27-'BALANCE GRAL 31 12 22'!G75</f>
        <v>0</v>
      </c>
    </row>
    <row r="31" spans="2:13" hidden="1"/>
    <row r="32" spans="2:13" hidden="1">
      <c r="C32" s="58">
        <f t="shared" ref="C32:I32" si="2">+C30-C27</f>
        <v>0</v>
      </c>
      <c r="D32" s="58">
        <f t="shared" si="2"/>
        <v>0</v>
      </c>
      <c r="E32" s="58">
        <f t="shared" si="2"/>
        <v>0</v>
      </c>
      <c r="F32" s="58">
        <f t="shared" si="2"/>
        <v>0</v>
      </c>
      <c r="G32" s="58">
        <f t="shared" si="2"/>
        <v>0</v>
      </c>
      <c r="H32" s="58">
        <f t="shared" si="2"/>
        <v>19059802.460000001</v>
      </c>
      <c r="I32" s="58">
        <f t="shared" si="2"/>
        <v>-19059801.460000008</v>
      </c>
      <c r="J32" s="58">
        <f>+J30-J27</f>
        <v>1</v>
      </c>
    </row>
    <row r="33" spans="2:11">
      <c r="J33" s="58">
        <f>+J27-'BALANCE GRAL 31 12 22'!G75</f>
        <v>0</v>
      </c>
      <c r="K33" s="58">
        <f>K28-'BALANCE GRAL 31 12 22'!H75</f>
        <v>0</v>
      </c>
    </row>
    <row r="34" spans="2:11">
      <c r="B34" s="694" t="s">
        <v>504</v>
      </c>
      <c r="C34" s="694"/>
      <c r="D34" s="694"/>
      <c r="E34" s="694"/>
      <c r="F34" s="694"/>
      <c r="G34" s="694"/>
      <c r="H34" s="694"/>
      <c r="I34" s="694"/>
      <c r="J34" s="694"/>
      <c r="K34" s="694"/>
    </row>
  </sheetData>
  <sheetProtection algorithmName="SHA-512" hashValue="r2MQ1E7hkm6HrpIZ3IurQsrjKz+8ZXjj25NGhzQT7MrrOgk9wwyQUauDsdk4jcRF0mISvQ2cloLl/k+6DjsT/g==" saltValue="uE4eGsz4zU0wLvEfLtg0yg==" spinCount="100000" sheet="1" objects="1" scenarios="1"/>
  <mergeCells count="9">
    <mergeCell ref="B34:K34"/>
    <mergeCell ref="B3:K3"/>
    <mergeCell ref="C8:D8"/>
    <mergeCell ref="E8:G8"/>
    <mergeCell ref="H8:I8"/>
    <mergeCell ref="J8:K8"/>
    <mergeCell ref="B4:K4"/>
    <mergeCell ref="B5:K5"/>
    <mergeCell ref="B6:K6"/>
  </mergeCells>
  <pageMargins left="0.7" right="0.7" top="0.75" bottom="0.75" header="0.3" footer="0.3"/>
  <pageSetup paperSize="9" orientation="portrait" r:id="rId1"/>
  <drawing r:id="rId2"/>
</worksheet>
</file>

<file path=_xmlsignatures/_rels/origin1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2.xml"/><Relationship Id="rId2" Type="http://schemas.openxmlformats.org/package/2006/relationships/digital-signature/signature" Target="sig1.xml"/><Relationship Id="rId1" Type="http://schemas.openxmlformats.org/package/2006/relationships/digital-signature/signature" Target="sig4.xml"/><Relationship Id="rId5" Type="http://schemas.openxmlformats.org/package/2006/relationships/digital-signature/signature" Target="sig5.xml"/><Relationship Id="rId4" Type="http://schemas.openxmlformats.org/package/2006/relationships/digital-signature/signature" Target="sig3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S20D4xwFKYNdPueTIXpiT36Xgkexq88drP6obfzzvag=</DigestValue>
    </Reference>
    <Reference Type="http://www.w3.org/2000/09/xmldsig#Object" URI="#idOfficeObject">
      <DigestMethod Algorithm="http://www.w3.org/2001/04/xmlenc#sha256"/>
      <DigestValue>HUHWJullYeNH37w3TVqDNi4Dcwc5ZYfeHBFMI97jdRE=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f5iZsU8qtkTcQixxKCRv+P8Zrst2vrfHJdP9yOemqrs=</DigestValue>
    </Reference>
    <Reference Type="http://www.w3.org/2000/09/xmldsig#Object" URI="#idValidSigLnImg">
      <DigestMethod Algorithm="http://www.w3.org/2001/04/xmlenc#sha256"/>
      <DigestValue>K87x8zzGteyZnzTx4dqIdSt0JKxpDj+vGXVXycQH7jA=</DigestValue>
    </Reference>
    <Reference Type="http://www.w3.org/2000/09/xmldsig#Object" URI="#idInvalidSigLnImg">
      <DigestMethod Algorithm="http://www.w3.org/2001/04/xmlenc#sha256"/>
      <DigestValue>n2TYyw3Sv/Bkn+xamZSyxxwfp9S/OK76vU36Yu0To2c=</DigestValue>
    </Reference>
  </SignedInfo>
  <SignatureValue>dJV2mIm4uTL04JbwEG8SjM8LNKj5Ik/GJsjAymlHVUfs1Er4U5fnl+O5lLFb4mlychFowYXI9Gw4
TyNj0Od39NqG1inEjnuk6StRJol4RbXiGnjTjRE75UPUmfC7Yfa6nGCL1naW9qdfofq2pR/jEeP8
MNt7Z8FoSy4wXUU7SYxLDRhDfwvK3C9b4moEHy633Mm90KgZWMnbkrvj+/bEeDzTJQKlNHymFruN
E3ZVstiikvVeSDb59S1k5IrpVAFV7nt+iJldmPecaeMpzPcrWncfXcVDL07OlMOyipaw/CPzMVch
7+xWXk8HjLpnmz64Sr7rJIEQPK5JavR644ye0Q==</SignatureValue>
  <KeyInfo>
    <X509Data>
      <X509Certificate>MIIHzTCCBbWgAwIBAgIQZBfNphHODklg7eWVVqciuDANBgkqhkiG9w0BAQsFADBPMRcwFQYDVQQFEw5SVUMgODAwODAwOTktMDELMAkGA1UEBhMCUFkxETAPBgNVBAoMCFZJVCBTLkEuMRQwEgYDVQQDEwtDQS1WSVQgUy5BLjAeFw0yMTA3MTMxOTEyMjFaFw0yMzA3MTMxOTEyMjFaMIGlMRcwFQYDVQQqDA5ESUVHTyBCRU5KQU1JTjEWMBQGA1UEBAwNQkFSQk9aQSBDTEFSSTESMBAGA1UEBRMJQ0kyMzcwMTg1MSUwIwYDVQQDDBxESUVHTyBCRU5KQU1JTiBCQVJCT1pBIENMQVJJMREwDwYDVQQLDAhGSVJNQSBGMjEXMBUGA1UECgwOUEVSU09OQSBGSVNJQ0ExCzAJBgNVBAYTAlBZMIIBIjANBgkqhkiG9w0BAQEFAAOCAQ8AMIIBCgKCAQEAkan/6hB4fcDPZQMxScP+0zHhVeQrOfzwTlwF5eOtJF10EgK4ZQf/j/jjzJJZPLAGrADCuluzi0fcd6gh8VvOeS7McbbNj2rJskVZEh2sofcjXvvBDRTzgSzM9DG9/e5xAll4QEm02R4E6A+OIYPYWENCCTNXmJ2cMyJApx5jKTi8cHzH4Q1PKv/thFZKiGb6SWljtB9U5ALKG2TgIyeILPtlvDkZBj/diz0IE2rWWcUQhmyGq/4A5Fst81DLe9eeMfuAFR/JlmtEeTrk3wwfPiV3v4nLNlgDkKMh1Mz1EgKpxX3M7hzHxbFEB6Ib+wnRtC+f0wICgxz6Xzd1j/RxowIDAQABo4IDTDCCA0gwDAYDVR0TAQH/BAIwADAOBgNVHQ8BAf8EBAMCBeAwLAYDVR0lAQH/BCIwIAYIKwYBBQUHAwQGCCsGAQUFBwMCBgorBgEEAYI3FAICMB0GA1UdDgQWBBQRMKirm/8kE2pgzrSpUdv7oVPf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IGA1UdEQQbMBmBF0RJRUdPQkVOSkFNSU5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H50/6RIvqA2w+hYQg8pCkBQHfmGNog65iXkj+Nxo2W9shP40V4j31rAGFEqUjU/XjfVNSCOkn+bYIbulRws2Bhv+LrzFoyJSCtBRK0pJHjU5oCaylM9slZr9uxIyfo2/JjCcROYJO3GNjrBk5Q5hfMu6bISvfpqH6PxpirtMhViffcHsERE+qRuMn7Flm9LF4eLUBMgS+JLjgeZBEUt0RQu0Rrz5qDVVQoWWs+c3hjvimHSW4uPHJhktAietpYM6lL4yK5Kmu+guwpUGkGKR7acPIqgo9A9iANzGHoiXIzkbgAXlAa8IgS2nX5spwNb6jypz35HmWjo3Zc33AvDtp9ItSbK6bsu5ySiN3yyskz+hri0ozIA4tJTH4CXXcqw4eIaeaXg0e7b4iT8jVaE1hDKsSSAJGzsj4fxZ+X13eqJDWNPADHNRo7fS6k3hP/3PE5YmK+rvdLR7gxbjhyfWoJmWY35HVAvvOPNtazkYZzshIOqZckDg6bRZlbvZjDPlNBzTfCAT7qrELo5Dkir7Xfx50uOZWI120roLnYPf4fWBhHZzd/9cvI2eH5pwFvd63AyHAxAaj5XPO0hXTNjKkZ0eWYW85UrgZHd6+S84tmSLoi6Q36KYIHFKfpxDyqMkmxMATTlBB6exW/AOjOv7bXj2Z7Vw2a3TbZ2YS1Nxp3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Txt1swa/bPIPmFGsZWwoEndhraiRbq1VVTVPE31ObWk=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7A6vZ7zkPzS9u46vAbI0CTdJK407ShiI7XQz2/JE+gs=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H6D/PCqqbYO40jDHb2D60Vt9hQ8U6OvF/s+CNSTog8o=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evLzBN/FKF+HS74Qdv10+CU1JQPXeHwtofEfP2sc0e4=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1SMfItI0vYaOoxDr33zyeI18EyQM+MTbv/d4PxzVhR0=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nssU7vY2dcgKUywGNl98M7XIzTEEKx7epX16+hDrUm0=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Sq09IcEMc0OyzgElN/R1RheQxt7xNWTgUQttKfEduUs=</DigestValue>
      </Reference>
      <Reference URI="/xl/media/image4.emf?ContentType=image/x-emf">
        <DigestMethod Algorithm="http://www.w3.org/2001/04/xmlenc#sha256"/>
        <DigestValue>wmvosK7xqarfhHlwSFGOmbuO/WXD+DNMn6W3Rzlq2vQ=</DigestValue>
      </Reference>
      <Reference URI="/xl/media/image5.emf?ContentType=image/x-emf">
        <DigestMethod Algorithm="http://www.w3.org/2001/04/xmlenc#sha256"/>
        <DigestValue>SajtG0SrrgZO+/SQQjUSz4mu/+kEKHoUrqYBPgf5Pyc=</DigestValue>
      </Reference>
      <Reference URI="/xl/media/image6.emf?ContentType=image/x-emf">
        <DigestMethod Algorithm="http://www.w3.org/2001/04/xmlenc#sha256"/>
        <DigestValue>heVTmAkJu6KE6RXpg5JxJt+jc4lqqmOk7wLsVG+IsnY=</DigestValue>
      </Reference>
      <Reference URI="/xl/media/image7.emf?ContentType=image/x-emf">
        <DigestMethod Algorithm="http://www.w3.org/2001/04/xmlenc#sha256"/>
        <DigestValue>1sJlwwPNAt/2mQzkWmCygQusDTo5RoAZBtmEcvsd2JQ=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adxJ+eSKsW+DPP/SKAaVGn4zwFM7hfPbcP2IwB7CIyE=</DigestValue>
      </Reference>
      <Reference URI="/xl/styles.xml?ContentType=application/vnd.openxmlformats-officedocument.spreadsheetml.styles+xml">
        <DigestMethod Algorithm="http://www.w3.org/2001/04/xmlenc#sha256"/>
        <DigestValue>aIvTIpW8AgNqkQSB0s7bTzkGEvmQPJyFclxeUbSQXxE=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Xhxj+hmEuNaR5TGDgl61vYddmFEr/TjYYkvvDl52+DI=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1hwWLEcX7cD0rekfAruNsbip83VGHwMp3VxnZ1/0Y+I=</DigestValue>
      </Reference>
      <Reference URI="/xl/worksheets/sheet10.xml?ContentType=application/vnd.openxmlformats-officedocument.spreadsheetml.worksheet+xml">
        <DigestMethod Algorithm="http://www.w3.org/2001/04/xmlenc#sha256"/>
        <DigestValue>v/gRmh4SCcAu3htqv7sgQ6haygYiTtWtZ2+mr/crc4s=</DigestValue>
      </Reference>
      <Reference URI="/xl/worksheets/sheet11.xml?ContentType=application/vnd.openxmlformats-officedocument.spreadsheetml.worksheet+xml">
        <DigestMethod Algorithm="http://www.w3.org/2001/04/xmlenc#sha256"/>
        <DigestValue>9VQodMfmu8Vcrdekv2CPImNTEbzTCJW9jtcOO0RR6Dc=</DigestValue>
      </Reference>
      <Reference URI="/xl/worksheets/sheet12.xml?ContentType=application/vnd.openxmlformats-officedocument.spreadsheetml.worksheet+xml">
        <DigestMethod Algorithm="http://www.w3.org/2001/04/xmlenc#sha256"/>
        <DigestValue>xLI9lf9BkDNiFdzYWLvPqF8yWgWUNkPJEoSzkkhKg2Q=</DigestValue>
      </Reference>
      <Reference URI="/xl/worksheets/sheet13.xml?ContentType=application/vnd.openxmlformats-officedocument.spreadsheetml.worksheet+xml">
        <DigestMethod Algorithm="http://www.w3.org/2001/04/xmlenc#sha256"/>
        <DigestValue>6hbqnHkTRCApBH1OciO9EC5+iQ5v982YBVC+cRWqRg0=</DigestValue>
      </Reference>
      <Reference URI="/xl/worksheets/sheet14.xml?ContentType=application/vnd.openxmlformats-officedocument.spreadsheetml.worksheet+xml">
        <DigestMethod Algorithm="http://www.w3.org/2001/04/xmlenc#sha256"/>
        <DigestValue>zjCWDBsS7BNtu76wLeNxkFrpZFjovbZjObdei6OnZj4=</DigestValue>
      </Reference>
      <Reference URI="/xl/worksheets/sheet15.xml?ContentType=application/vnd.openxmlformats-officedocument.spreadsheetml.worksheet+xml">
        <DigestMethod Algorithm="http://www.w3.org/2001/04/xmlenc#sha256"/>
        <DigestValue>QDBmI1RTHobKhxdAQ06Rdo5SsHHuKpRZJOATMX4Ykgo=</DigestValue>
      </Reference>
      <Reference URI="/xl/worksheets/sheet16.xml?ContentType=application/vnd.openxmlformats-officedocument.spreadsheetml.worksheet+xml">
        <DigestMethod Algorithm="http://www.w3.org/2001/04/xmlenc#sha256"/>
        <DigestValue>+hl/X2W4jcYy6Mv5SgtKF6moSWvg17CdBOIOps3i65A=</DigestValue>
      </Reference>
      <Reference URI="/xl/worksheets/sheet17.xml?ContentType=application/vnd.openxmlformats-officedocument.spreadsheetml.worksheet+xml">
        <DigestMethod Algorithm="http://www.w3.org/2001/04/xmlenc#sha256"/>
        <DigestValue>BFSVGHg+rMt3YkfjgHB2LXx5PX+UPOO7g6XjKMTu1q4=</DigestValue>
      </Reference>
      <Reference URI="/xl/worksheets/sheet18.xml?ContentType=application/vnd.openxmlformats-officedocument.spreadsheetml.worksheet+xml">
        <DigestMethod Algorithm="http://www.w3.org/2001/04/xmlenc#sha256"/>
        <DigestValue>/BMAwicYNpxTY+aTUIU9o2Wdi95Sx1agDXfnir0+Jhg=</DigestValue>
      </Reference>
      <Reference URI="/xl/worksheets/sheet19.xml?ContentType=application/vnd.openxmlformats-officedocument.spreadsheetml.worksheet+xml">
        <DigestMethod Algorithm="http://www.w3.org/2001/04/xmlenc#sha256"/>
        <DigestValue>Q0+1dEbtfLreLZRH9tXLoWeRSrCWP6Da/xjfQUl8m64=</DigestValue>
      </Reference>
      <Reference URI="/xl/worksheets/sheet2.xml?ContentType=application/vnd.openxmlformats-officedocument.spreadsheetml.worksheet+xml">
        <DigestMethod Algorithm="http://www.w3.org/2001/04/xmlenc#sha256"/>
        <DigestValue>UIYZcsLNyVa4Zwau7I/a/9FlDqrIDZGG/Qt6KUY13EE=</DigestValue>
      </Reference>
      <Reference URI="/xl/worksheets/sheet20.xml?ContentType=application/vnd.openxmlformats-officedocument.spreadsheetml.worksheet+xml">
        <DigestMethod Algorithm="http://www.w3.org/2001/04/xmlenc#sha256"/>
        <DigestValue>QKHoE/8nVrAZ+4UkvJBa1d5kRm7hnevMc3ZsYFzjelU=</DigestValue>
      </Reference>
      <Reference URI="/xl/worksheets/sheet21.xml?ContentType=application/vnd.openxmlformats-officedocument.spreadsheetml.worksheet+xml">
        <DigestMethod Algorithm="http://www.w3.org/2001/04/xmlenc#sha256"/>
        <DigestValue>hrRapHiIYV1uIGIC4UrpmuRKIGOme/aCXvORWI34UbY=</DigestValue>
      </Reference>
      <Reference URI="/xl/worksheets/sheet22.xml?ContentType=application/vnd.openxmlformats-officedocument.spreadsheetml.worksheet+xml">
        <DigestMethod Algorithm="http://www.w3.org/2001/04/xmlenc#sha256"/>
        <DigestValue>S4qVXHTeJzITQ1JsBlKYurfobEsMcce0lM1ogNDvXHA=</DigestValue>
      </Reference>
      <Reference URI="/xl/worksheets/sheet23.xml?ContentType=application/vnd.openxmlformats-officedocument.spreadsheetml.worksheet+xml">
        <DigestMethod Algorithm="http://www.w3.org/2001/04/xmlenc#sha256"/>
        <DigestValue>OdJpmRtCY0g6/ug8JEfIayR/5Ns0oGJ3viNcFcoUD/c=</DigestValue>
      </Reference>
      <Reference URI="/xl/worksheets/sheet24.xml?ContentType=application/vnd.openxmlformats-officedocument.spreadsheetml.worksheet+xml">
        <DigestMethod Algorithm="http://www.w3.org/2001/04/xmlenc#sha256"/>
        <DigestValue>TYibDELu7n9uikLQC/GIO8uv3+jWTBD3yS3EjSjwCwA=</DigestValue>
      </Reference>
      <Reference URI="/xl/worksheets/sheet25.xml?ContentType=application/vnd.openxmlformats-officedocument.spreadsheetml.worksheet+xml">
        <DigestMethod Algorithm="http://www.w3.org/2001/04/xmlenc#sha256"/>
        <DigestValue>XKBsHhXIgdIDmbRO8AdjcLgL2sWSOvTqmn/PPAJ4LBo=</DigestValue>
      </Reference>
      <Reference URI="/xl/worksheets/sheet26.xml?ContentType=application/vnd.openxmlformats-officedocument.spreadsheetml.worksheet+xml">
        <DigestMethod Algorithm="http://www.w3.org/2001/04/xmlenc#sha256"/>
        <DigestValue>74D08+DZbMT4/Wn678Zm6qCkpwxbJuSWJKCGy+GEw04=</DigestValue>
      </Reference>
      <Reference URI="/xl/worksheets/sheet27.xml?ContentType=application/vnd.openxmlformats-officedocument.spreadsheetml.worksheet+xml">
        <DigestMethod Algorithm="http://www.w3.org/2001/04/xmlenc#sha256"/>
        <DigestValue>Cfi0OWEFMymWbvMu4avCwrIV8IiCXzC40hXop+enj/Q=</DigestValue>
      </Reference>
      <Reference URI="/xl/worksheets/sheet28.xml?ContentType=application/vnd.openxmlformats-officedocument.spreadsheetml.worksheet+xml">
        <DigestMethod Algorithm="http://www.w3.org/2001/04/xmlenc#sha256"/>
        <DigestValue>UeJ4olSuoCNC8jeOzuCdhVnduOKEWyzzcB6ySqUtrSs=</DigestValue>
      </Reference>
      <Reference URI="/xl/worksheets/sheet29.xml?ContentType=application/vnd.openxmlformats-officedocument.spreadsheetml.worksheet+xml">
        <DigestMethod Algorithm="http://www.w3.org/2001/04/xmlenc#sha256"/>
        <DigestValue>nkf7adUXD5WM47nbV6L3Lfa7TdYO9hIM8hDL5FVqrxU=</DigestValue>
      </Reference>
      <Reference URI="/xl/worksheets/sheet3.xml?ContentType=application/vnd.openxmlformats-officedocument.spreadsheetml.worksheet+xml">
        <DigestMethod Algorithm="http://www.w3.org/2001/04/xmlenc#sha256"/>
        <DigestValue>wK0GnEeR1Zt1FXFUVHCueEz4gHjkTtiqU9O8+qCbEsc=</DigestValue>
      </Reference>
      <Reference URI="/xl/worksheets/sheet30.xml?ContentType=application/vnd.openxmlformats-officedocument.spreadsheetml.worksheet+xml">
        <DigestMethod Algorithm="http://www.w3.org/2001/04/xmlenc#sha256"/>
        <DigestValue>nXun5/s07xUAOHP563CUzDVy1wu5a6ZM8IQQRG2ZNwQ=</DigestValue>
      </Reference>
      <Reference URI="/xl/worksheets/sheet4.xml?ContentType=application/vnd.openxmlformats-officedocument.spreadsheetml.worksheet+xml">
        <DigestMethod Algorithm="http://www.w3.org/2001/04/xmlenc#sha256"/>
        <DigestValue>rcoSLjnQQUJhQEWDyIvHPI+h77kZkXakilSAlHeFrNo=</DigestValue>
      </Reference>
      <Reference URI="/xl/worksheets/sheet5.xml?ContentType=application/vnd.openxmlformats-officedocument.spreadsheetml.worksheet+xml">
        <DigestMethod Algorithm="http://www.w3.org/2001/04/xmlenc#sha256"/>
        <DigestValue>J+7R/RvsD5RAs0T76O3FXbfL/U56PvnGhTbhbPa9DYI=</DigestValue>
      </Reference>
      <Reference URI="/xl/worksheets/sheet6.xml?ContentType=application/vnd.openxmlformats-officedocument.spreadsheetml.worksheet+xml">
        <DigestMethod Algorithm="http://www.w3.org/2001/04/xmlenc#sha256"/>
        <DigestValue>RV8E4qJTwm2rMjLII0QqiNXTa0Gi16y1YfOSBkE6MDY=</DigestValue>
      </Reference>
      <Reference URI="/xl/worksheets/sheet7.xml?ContentType=application/vnd.openxmlformats-officedocument.spreadsheetml.worksheet+xml">
        <DigestMethod Algorithm="http://www.w3.org/2001/04/xmlenc#sha256"/>
        <DigestValue>ygF30QmTMcnJaTZIg81yM51bJSTuRruSRIuM8xBFQ4w=</DigestValue>
      </Reference>
      <Reference URI="/xl/worksheets/sheet8.xml?ContentType=application/vnd.openxmlformats-officedocument.spreadsheetml.worksheet+xml">
        <DigestMethod Algorithm="http://www.w3.org/2001/04/xmlenc#sha256"/>
        <DigestValue>0ShdXNv9ineY57NCPjKbDXHgr6p2GOOpxmA8miO6TkQ=</DigestValue>
      </Reference>
      <Reference URI="/xl/worksheets/sheet9.xml?ContentType=application/vnd.openxmlformats-officedocument.spreadsheetml.worksheet+xml">
        <DigestMethod Algorithm="http://www.w3.org/2001/04/xmlenc#sha256"/>
        <DigestValue>QSNZ1PjBfXBcw1TCpls5TJNDjkDetvZnm7RqoiZVKpo=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2023-03-31T18:01:54Z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{D267C4EB-1C3E-4631-8FC5-4344CBADA8F7}</SetupID>
          <SignatureText>Diego Barboza</SignatureText>
          <SignatureImage/>
          <SignatureComments/>
          <WindowsVersion>10.0</WindowsVersion>
          <OfficeVersion>16.0.16130/24</OfficeVersion>
          <ApplicationVersion>16.0.16130</ApplicationVersion>
          <Monitors>2</Monitors>
          <HorizontalResolution>3840</HorizontalResolution>
          <VerticalResolution>2160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2023-03-31T18:01:54Z</xd:SigningTime>
          <xd:SigningCertificate>
            <xd:Cert>
              <xd:CertDigest>
                <DigestMethod Algorithm="http://www.w3.org/2001/04/xmlenc#sha256"/>
                <DigestValue>xtXZSJDeBq4m/eSebeD5UsyH7PoPRA6ef0+yJf5bNSY=</DigestValue>
              </xd:CertDigest>
              <xd:IssuerSerial>
                <X509IssuerName>CN=CA-VIT S.A., O=VIT S.A., C=PY, SERIALNUMBER=RUC 80080099-0</X509IssuerName>
                <X509SerialNumber>133046393457591965638684905519245107896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sDAAB/AQAAAAAAAAAAAAA+GQAAdgsAACBFTUYAAAEAuBsAAKoAAAAGAAAAAAAAAAAAAAAAAAAAAA8AAHAIAAAmAQAApQAAAAAAAAAAAAAAAAAAAHB8BACIhAIACgAAABAAAAAAAAAAAAAAAEsAAAAQAAAAAAAAAAUAAAAeAAAAGAAAAAAAAAAAAAAATAMAAIABAAAnAAAAGAAAAAEAAAAAAAAAAAAAAAAAAAAlAAAADAAAAAEAAABMAAAAZAAAAAAAAAAAAAAASwMAAH8BAAAAAAAAAAAAAEwDAACAAQAAIQDwAAAAAAAAAAAAAACAPwAAAAAAAAAAAACAPwAAAAAAAAAAAAAAAAAAAAAAAAAAAAAAAAAAAAAAAAAAJQAAAAwAAAAAAACAKAAAAAwAAAABAAAAJwAAABgAAAABAAAAAAAAAP///wAAAAAAJQAAAAwAAAABAAAATAAAAGQAAAAAAAAAAAAAAP8CAAB/AQAAAAAAAAAAAAAA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8PDwAAAAAAAlAAAADAAAAAEAAABMAAAAZAAAAAAAAAAAAAAASwMAAH8BAAAAAAAAAAAAAEwDAACAAQAAIQDwAAAAAAAAAAAAAACAPwAAAAAAAAAAAACAPwAAAAAAAAAAAAAAAAAAAAAAAAAAAAAAAAAAAAAAAAAAJQAAAAwAAAAAAACAKAAAAAwAAAABAAAAJwAAABgAAAABAAAAAAAAAPDw8AAAAAAAJQAAAAwAAAABAAAATAAAAGQAAAAAAAAAAAAAAEsDAAB/AQAAAAAAAAAAAABM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////AAAAAAAlAAAADAAAAAEAAABMAAAAZAAAAAAAAAAAAAAASwMAAH8BAAAAAAAAAAAAAEwDAACAAQAAIQDwAAAAAAAAAAAAAACAPwAAAAAAAAAAAACAPwAAAAAAAAAAAAAAAAAAAAAAAAAAAAAAAAAAAAAAAAAAJQAAAAwAAAAAAACAKAAAAAwAAAABAAAAJwAAABgAAAABAAAAAAAAAP///wAAAAAAJQAAAAwAAAABAAAATAAAAGQAAAAAAAAAAAAAAEsDAAB/AQAAAAAAAAAAAABMAwAAgAEAACEA8AAAAAAAAAAAAAAAgD8AAAAAAAAAAAAAgD8AAAAAAAAAAAAAAAAAAAAAAAAAAAAAAAAAAAAAAAAAACUAAAAMAAAAAAAAgCgAAAAMAAAAAQAAACcAAAAYAAAAAQAAAAAAAAD///8AAAAAACUAAAAMAAAAAQAAAEwAAABkAAAAAAAAAAsAAAD/AgAAOgAAAAAAAAALAAAAAAMAADAAAAAhAPAAAAAAAAAAAAAAAIA/AAAAAAAAAAAAAIA/AAAAAAAAAAAAAAAAAAAAAAAAAAAAAAAAAAAAAAAAAAAlAAAADAAAAAAAAIAoAAAADAAAAAEAAAAnAAAAGAAAAAEAAAAAAAAA////AAAAAAAlAAAADAAAAAEAAABMAAAAZAAAACECAAAMAAAAsQIAADgAAAAhAgAADAAAAJEAAAAtAAAAIQDwAAAAAAAAAAAAAACAPwAAAAAAAAAAAACAPwAAAAAAAAAAAAAAAAAAAAAAAAAAAAAAAAAAAAAAAAAAJQAAAAwAAAAAAACAKAAAAAwAAAABAAAAUgAAAHABAAABAAAA4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CECAAAMAAAAsgIAADkAAAAlAAAADAAAAAEAAABUAAAAhAAAACICAAAMAAAAsAIAADgAAAABAAAAAAD1QMdx9EAiAgAADAAAAAkAAABMAAAAAAAAAAAAAAAAAAAA//////////9gAAAAMwAxAC8AMwAvADIAMAAyADMAMAoRAAAAEQAAAAwAAAARAAAADAAAABEAAAARAAAAEQAAABEAAABLAAAAQAAAADAAAAAFAAAAIAAAAAEAAAABAAAAEAAAAAAAAAAAAAAATAMAAIABAAAAAAAAAAAAAEwDAACAAQ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RgAAAAAAAACFAAAAIQDwAAAAAAAAAAAAAACAPwAAAAAAAAAAAACAPwAAAAAAAAAAAAAAAAAAAAAAAAAAAAAAAAAAAAAAAAAAJQAAAAwAAAAAAACAKAAAAAwAAAADAAAAJwAAABgAAAADAAAAAAAAAAAAAAAAAAAAJQAAAAwAAAADAAAATAAAAGQAAAAAAAAAAAAAAP//////////AAAAAEYAAAAAAwAAAAAAACEA8AAAAAAAAAAAAAAAgD8AAAAAAAAAAAAAgD8AAAAAAAAAAAAAAAAAAAAAAAAAAAAAAAAAAAAAAAAAACUAAAAMAAAAAAAAgCgAAAAMAAAAAwAAACcAAAAYAAAAAwAAAAAAAAAAAAAAAAAAACUAAAAMAAAAAwAAAEwAAABkAAAAAAAAAAAAAAD//////////wADAABGAAAAAAAAAIUAAAAhAPAAAAAAAAAAAAAAAIA/AAAAAAAAAAAAAIA/AAAAAAAAAAAAAAAAAAAAAAAAAAAAAAAAAAAAAAAAAAAlAAAADAAAAAAAAIAoAAAADAAAAAMAAAAnAAAAGAAAAAMAAAAAAAAAAAAAAAAAAAAlAAAADAAAAAMAAABMAAAAZAAAAAAAAADLAAAA/wIAAMwAAAAAAAAAywAAAAADAAACAAAAIQDwAAAAAAAAAAAAAACAPwAAAAAAAAAAAACAPwAAAAAAAAAAAAAAAAAAAAAAAAAAAAAAAAAAAAAAAAAAJQAAAAwAAAAAAACAKAAAAAwAAAADAAAAJwAAABgAAAADAAAAAAAAAP///wAAAAAAJQAAAAwAAAADAAAATAAAAGQAAAAAAAAARgAAAP8CAADKAAAAAAAAAEYAAAAAAwAAhQAAACEA8AAAAAAAAAAAAAAAgD8AAAAAAAAAAAAAgD8AAAAAAAAAAAAAAAAAAAAAAAAAAAAAAAAAAAAAAAAAACUAAAAMAAAAAAAAgCgAAAAMAAAAAwAAACcAAAAYAAAAAwAAAAAAAAD///8AAAAAACUAAAAMAAAAAwAAAEwAAABkAAAAGgAAAKcAAAAwAAAAygAAABoAAAC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GwAAAKcAAAAvAAAAygAAAAEAAAAAAPVAx3H0QBsAAADLAAAAAQAAAEwAAAAEAAAAGgAAAKcAAAAxAAAAywAAAFAAAABYAHJ6FQAAABYAAAAMAAAAAAAAACUAAAAMAAAAAgAAACcAAAAYAAAABAAAAAAAAAD///8AAAAAACUAAAAMAAAABAAAAEwAAABkAAAAfwAAAFEAAADlAgAAygAAAH8AAABRAAAAZwIAAHoAAAAhAPAAAAAAAAAAAAAAAIA/AAAAAAAAAAAAAIA/AAAAAAAAAAAAAAAAAAAAAAAAAAAAAAAAAAAAAAAAAAAlAAAADAAAAAAAAIAoAAAADAAAAAQAAAAnAAAAGAAAAAQAAAAAAAAA////AAAAAAAlAAAADAAAAAQAAABMAAAAZAAAAH8AAABRAAAA5QIAAL8AAAB/AAAAUQAAAGcCAABvAAAAIQDwAAAAAAAAAAAAAACAPwAAAAAAAAAAAACAPwAAAAAAAAAAAAAAAAAAAAAAAAAAAAAAAAAAAAAAAAAAJQAAAAwAAAAAAACAKAAAAAwAAAAEAAAAJwAAABgAAAAEAAAAAAAAAP///wAAAAAAJQAAAAwAAAAEAAAATAAAAGQAAAB/AAAAfwAAALcBAAC/AAAAfwAAAH8AAAA5AQAAQQAAACEA8AAAAAAAAAAAAAAAgD8AAAAAAAAAAAAAgD8AAAAAAAAAAAAAAAAAAAAAAAAAAAAAAAAAAAAAAAAAACUAAAAMAAAAAAAAgCgAAAAMAAAABAAAAFIAAABwAQAABAAAAN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B/AAAAfwAAALgBAADAAAAAJQAAAAwAAAAEAAAAVAAAAJwAAACAAAAAfwAAALYBAAC/AAAAAQAAAAAA9UDHcfRAgAAAAH8AAAANAAAATAAAAAAAAAAAAAAAAAAAAP//////////aAAAAEQAaQBlAGcAbwAgAEIAYQByAGIAbwB6AGEADDAiAAAADAAAABkAAAAcAAAAHAAAAA0AAAAcAAAAGAAAABEAAAAcAAAAHAAAABYAAAAYAAAASwAAAEAAAAAwAAAABQAAACAAAAABAAAAAQAAABAAAAAAAAAAAAAAAEwDAACAAQAAAAAAAAAAAABMAwAAgAEAACUAAAAMAAAAAgAAACcAAAAYAAAABQAAAAAAAAD///8AAAAAACUAAAAMAAAABQAAAEwAAABkAAAAAAAAANgAAABLAwAAdAEAAAAAAADYAAAATAMAAJ0AAAAhAPAAAAAAAAAAAAAAAIA/AAAAAAAAAAAAAIA/AAAAAAAAAAAAAAAAAAAAAAAAAAAAAAAAAAAAAAAAAAAlAAAADAAAAAAAAIAoAAAADAAAAAUAAAAnAAAAGAAAAAUAAAAAAAAA////AAAAAAAlAAAADAAAAAUAAABMAAAAZAAAAE4AAADYAAAA/QIAAAQBAABOAAAA2AAAALACAAAtAAAAIQDwAAAAAAAAAAAAAACAPwAAAAAAAAAAAACAPwAAAAAAAAAAAAAAAAAAAAAAAAAAAAAAAAAAAAAAAAAAJQAAAAwAAAAAAACAKAAAAAwAAAAFAAAAJQAAAAwAAAABAAAAGAAAAAwAAAAAAAAAEgAAAAwAAAABAAAAHgAAABgAAABOAAAA2AAAAP4CAAAFAQAAJQAAAAwAAAABAAAAVAAAAJwAAABPAAAA2AAAAB0BAAAEAQAAAQAAAAAA9UDHcfRATwAAANgAAAANAAAATAAAAAAAAAAAAAAAAAAAAP//////////aAAAAEQAaQBlAGcAbwAgAEIAYQByAGIAbwB6AGEAMjAWAAAACAAAABEAAAATAAAAEwAAAAkAAAASAAAAEAAAAAsAAAATAAAAEwAAAA4AAAAQAAAASwAAAEAAAAAwAAAABQAAACAAAAABAAAAAQAAABAAAAAAAAAAAAAAAEwDAACAAQAAAAAAAAAAAABMAwAAgAEAACUAAAAMAAAAAgAAACcAAAAYAAAABQAAAAAAAAD///8AAAAAACUAAAAMAAAABQAAAEwAAABkAAAATgAAABABAAD9AgAAPAEAAE4AAAAQAQAAsAIAAC0AAAAhAPAAAAAAAAAAAAAAAIA/AAAAAAAAAAAAAIA/AAAAAAAAAAAAAAAAAAAAAAAAAAAAAAAAAAAAAAAAAAAlAAAADAAAAAAAAIAoAAAADAAAAAUAAAAlAAAADAAAAAEAAAAYAAAADAAAAAAAAAASAAAADAAAAAEAAAAeAAAAGAAAAE4AAAAQAQAA/gIAAD0BAAAlAAAADAAAAAEAAABUAAAArAAAAE8AAAAQAQAAHAEAADwBAAABAAAAAAD1QMdx9EBPAAAAEAEAABAAAABMAAAAAAAAAAAAAAAAAAAA//////////9sAAAARABpAHIAZQBjAHQAbwByACAAdABpAHQAdQBsAGEAcgAWAAAACAAAAAsAAAARAAAADwAAAAsAAAATAAAACwAAAAkAAAALAAAACAAAAAsAAAASAAAACAAAABAAAAALAAAASwAAAEAAAAAwAAAABQAAACAAAAABAAAAAQAAABAAAAAAAAAAAAAAAEwDAACAAQAAAAAAAAAAAABMAwAAgAEAACUAAAAMAAAAAgAAACcAAAAYAAAABQAAAAAAAAD///8AAAAAACUAAAAMAAAABQAAAEwAAABkAAAATgAAAEgBAAD9AgAAdAEAAE4AAABIAQAAsAIAAC0AAAAhAPAAAAAAAAAAAAAAAIA/AAAAAAAAAAAAAIA/AAAAAAAAAAAAAAAAAAAAAAAAAAAAAAAAAAAAAAAAAAAlAAAADAAAAAAAAIAoAAAADAAAAAUAAAAlAAAADAAAAAEAAAAYAAAADAAAAAAAAAASAAAADAAAAAEAAAAWAAAADAAAAAAAAABUAAAARAEAAE8AAABIAQAA/AIAAHQBAAABAAAAAAD1QMdx9EBPAAAASAEAACkAAABMAAAABAAAAE4AAABIAQAA/gIAAHUBAACgAAAARgBpAHIAbQBhAGQAbwAgAHAAbwByADoAIABEAEkARQBHAE8AIABCAEUATgBKAEEATQBJAE4AIABCAEEAUgBCAE8AWgBBACAAQwBMAEEAUgBJAP4XEAAAAAgAAAALAAAAHAAAABAAAAATAAAAEwAAAAkAAAATAAAAEwAAAAsAAAAHAAAACQAAABYAAAAJAAAAEAAAABYAAAAYAAAACQAAABIAAAAQAAAAGAAAAAsAAAAVAAAAHQAAAAkAAAAYAAAACQAAABIAAAAVAAAAEwAAABIAAAAYAAAAEgAAABUAAAAJAAAAFAAAAA8AAAAVAAAAEwAAAAkAAAAWAAAADAAAAAAAAAAlAAAADAAAAAIAAAAOAAAAFAAAAAAAAAAQAAAAFAAAAA==</Object>
  <Object Id="idInvalidSigLnImg">AQAAAGwAAAAAAAAAAAAAAEsDAAB/AQAAAAAAAAAAAAA+GQAAdgsAACBFTUYAAAEAKDYAALEAAAAGAAAAAAAAAAAAAAAAAAAAAA8AAHAIAAAmAQAApQAAAAAAAAAAAAAAAAAAAHB8BACIhAIACgAAABAAAAAAAAAAAAAAAEsAAAAQAAAAAAAAAAUAAAAeAAAAGAAAAAAAAAAAAAAATAMAAIABAAAnAAAAGAAAAAEAAAAAAAAAAAAAAAAAAAAlAAAADAAAAAEAAABMAAAAZAAAAAAAAAAAAAAASwMAAH8BAAAAAAAAAAAAAEwDAACAAQAAIQDwAAAAAAAAAAAAAACAPwAAAAAAAAAAAACAPwAAAAAAAAAAAAAAAAAAAAAAAAAAAAAAAAAAAAAAAAAAJQAAAAwAAAAAAACAKAAAAAwAAAABAAAAJwAAABgAAAABAAAAAAAAAP///wAAAAAAJQAAAAwAAAABAAAATAAAAGQAAAAAAAAAAAAAAP8CAAB/AQAAAAAAAAAAAAAA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8PDwAAAAAAAlAAAADAAAAAEAAABMAAAAZAAAAAAAAAAAAAAASwMAAH8BAAAAAAAAAAAAAEwDAACAAQAAIQDwAAAAAAAAAAAAAACAPwAAAAAAAAAAAACAPwAAAAAAAAAAAAAAAAAAAAAAAAAAAAAAAAAAAAAAAAAAJQAAAAwAAAAAAACAKAAAAAwAAAABAAAAJwAAABgAAAABAAAAAAAAAPDw8AAAAAAAJQAAAAwAAAABAAAATAAAAGQAAAAAAAAAAAAAAEsDAAB/AQAAAAAAAAAAAABM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////AAAAAAAlAAAADAAAAAEAAABMAAAAZAAAAAAAAAAAAAAASwMAAH8BAAAAAAAAAAAAAEwDAACAAQAAIQDwAAAAAAAAAAAAAACAPwAAAAAAAAAAAACAPwAAAAAAAAAAAAAAAAAAAAAAAAAAAAAAAAAAAAAAAAAAJQAAAAwAAAAAAACAKAAAAAwAAAABAAAAJwAAABgAAAABAAAAAAAAAP///wAAAAAAJQAAAAwAAAABAAAATAAAAGQAAAAAAAAAAAAAAEsDAAB/AQAAAAAAAAAAAABMAwAAgAEAACEA8AAAAAAAAAAAAAAAgD8AAAAAAAAAAAAAgD8AAAAAAAAAAAAAAAAAAAAAAAAAAAAAAAAAAAAAAAAAACUAAAAMAAAAAAAAgCgAAAAMAAAAAQAAACcAAAAYAAAAAQAAAAAAAAD///8AAAAAACUAAAAMAAAAAQAAAEwAAABkAAAAAAAAAAsAAAD/AgAAOgAAAAAAAAALAAAAAAMAADAAAAAhAPAAAAAAAAAAAAAAAIA/AAAAAAAAAAAAAIA/AAAAAAAAAAAAAAAAAAAAAAAAAAAAAAAAAAAAAAAAAAAlAAAADAAAAAAAAIAoAAAADAAAAAEAAAAnAAAAGAAAAAEAAAAAAAAA////AAAAAAAlAAAADAAAAAEAAABMAAAAZAAAAE4AAAALAAAAfQAAADoAAABOAAAACwAAADAAAAAwAAAAIQDwAAAAAAAAAAAAAACAPwAAAAAAAAAAAACAPwAAAAAAAAAAAAAAAAAAAAAAAAAAAAAAAAAAAAAAAAAAJQAAAAwAAAAAAACAKAAAAAwAAAABAAAAFQAAAAwAAAADAAAAcgAAAKAZAABSAAAADAAAAHkAAAAzAAAAUgAAAAwAAAAoAAAAKAAAAAAA/wEAAAAAAAAAAAAAgD8AAAAAAAAAAAAAgD8AAAAAAAAAAP///wAAAAAAbAAAADQAAACgAAAAABkAACgAAAAoAAAAKAAAACgAAAAoAAAAAQAgAAMAAAAAGQAAAAAAAAAAAAAAAAAAAAAAAAAA/wAA/wAA/wAAAAAAAAAAAAAAAAAAAAAAAAAAAAAAAAAAAAAAAAAAAAAAAAAAAAAAAAArLCzDAAAAAAAAAAAAAAAAAAAAAAAAAAAAAAAAAAAAAAAAAAAAAAAAAAAAAAAAAAAAAAAALzG+zBcXW2IAAAAAAAAAAAAAAAAAAAAAAAAAAAAAAAAAAAAAAAAAAAAAAAAAAAAAAAAAAAAAAAAAAAAALzG+zBcXW2IAAAAAAAAAAAAAAAAAAAAAAAAAAAAAAAAAAAAAAAAAAAAAAAAAAAAAODo6/zg6Ov8rLCzDAAAAAAAAAAAAAAAAAAAAAAAAAAAAAAAAAAAAAAAAAAAAAAAAFxdbYjs97f87Pe3/FxdbYgAAAAAAAAAAAAAAAAAAAAAAAAAAAAAAAAAAAAAAAAAAAAAAAAAAAAAAAAAALzG+zDs97f8vMb7MAAAAAAAAAAAAAAAAAAAAAAAAAAAAAAAAAAAAAAAAAAAAAAAAAAAAADg6Ov84Ojr/ODo6/zg6Ov8eHx+KAAAAAAAAAAAAAAAAAAAAAAAAAAAAAAAAAAAAAAAAAAAXF1tiOz3t/zs97f8XF1tiAAAAAAAAAAAAAAAAAAAAAAAAAAAAAAAAAAAAAAAAAAAAAAAALzG+zDs97f8vMb7MAAAAAAAAAAAAAAAAAAAAAAAAAAAAAAAAAAAAAAAAAAAAAAAAAAAAAAAAAAA4Ojr/ODo6/zg6Ov84Ojr/ODo6/yssLMMSEhJRAAAAAAAAAAAAAAAAAAAAAAAAAAAAAAAAAAAAABcXW2I7Pe3/Oz3t/xcXW2IAAAAAAAAAAAAAAAAAAAAAAAAAAAAAAAAAAAAALzG+zDs97f8vMb7MAAAAAAAAAAAAAAAAAAAAAAAAAAAAAAAAAAAAAAAAAAAAAAAAAAAAAAAAAAAAAAAAODo6/zg6Ov9mZ2f/ODo6/zg6Ov84Ojr/ODo6/yssLMMAAAAAEhISURISElEAAAAAAAAAAAAAAAAAAAAAFxdbYjs97f87Pe3/FxdbYgAAAAAAAAAAAAAAAAAAAAAAAAAALzG+zDs97f8vMb7MAAAAAAAAAAAAAAAAAAAAAAAAAAAAAAAAAAAAAAAAAAAAAAAAAAAAAAAAAAAAAAAAAAAAADg6Ov84Ojr/kZKS//r6+v+RkpL/ODo6/zg6Ov84Ojr/ODo6/zg6Ov84Ojr/W1tbmwAAAAAAAAAAAAAAAAAAAAAXF1tiOz3t/zs97f8XF1tiAAAAAAAAAAAAAAAALzG+zDs97f8vMb7MAAAAAAAAAAAAAAAAAAAAAAAAAAAAAAAAAAAAAAAAAAAAAAAAAAAAAAAAAAAAAAAAAAAAAAAAAAA4Ojr/ODo6/5GSkv/6+vr/+vr6//r6+v9mZ2f/ODo6/zg6Ov84Ojr/ODo6/729vf9ra2ttAAAAAAAAAAAAAAAAAAAAABcXW2I7Pe3/Oz3t/xcXW2IAAAAALzG+zDs97f8vMb7MAAAAAAAAAAAAAAAAAAAAAAAAAAAAAAAAAAAAAAAAAAAAAAAAAAAAAAAAAAAAAAAAAAAAAAAAAAAAAAAAODo6/zg6Ov+RkpL/+vr6//r6+v/6+vr/+vr6/729vf9mZ2f/kZKS//r6+v/6+vr/+vr6/2tra20AAAAAAAAAAAAAAAAAAAAAFxdbYjs97f87Pe3/Oz3t/zs97f8vMb7MAAAAAAAAAAAAAAAAAAAAAAAAAAAAAAAAAAAAAAAAAAAAAAAAAAAAAAAAAAAAAAAAAAAAAAAAAAAAAAAAAAAAADg6Ov84Ojr/kZKS//r6+v/6+vr/+vr6//r6+v/6+vr/+vr6//r6+v/6+vr/+vr6//r6+v/6+vr/AAAAAAAAAAAAAAAAAAAAAAAAAAAkJY+aOz3t/zs97f87Pe3/AAAAAAAAAAAAAAAAAAAAAAAAAAAAAAAAAAAAAAAAAAAAAAAAAAAAAAAAAAAAAAAAAAAAAAAAAAAAAAAAAAAAAAAAAAA4Ojr/ODo6/5GSkv/6+vr/+vr6//r6+v/6+vr/+vr6//r6+v/6+vr/+vr6//r6+v/6+vr/1dXV2QAAAAAAAAAAAAAAAAAAAAAAAAAALzG+zDs97f87Pe3/Oz3t/xcXW2IAAAAAAAAAAAAAAAAAAAAAAAAAAAAAAAAAAAAAAAAAAAAAAAAAAAAAAAAAAAAAAAAAAAAAAAAAAAAAAAAAAAAAODo6/zg6Ov+RkpL/+vr6//r6+v/6+vr/+vr6//r6+v/6+vr/+vr6//r6+v/6+vr/1dXV2QAAAAAAAAAAAAAAAAAAAAAAAAAALzG+zDs97f8vMb7MJCWPmjs97f87Pe3/FxdbYgAAAAAAAAAAAAAAAAAAAAAAAAAAAAAAAAAAAAAAAAAAAAAAAAAAAAAAAAAAAAAAAAAAAAAAAAAAAAAAADg6Ov84Ojr/kZKS//r6+v/6+vr/+vr6//r6+v/6+vr/+vr6//r6+v/6+vr/1dXV2QAAAAAAAAAAAAAAAAAAAAAAAAAALzG+zDs97f8vMb7MAAAAAAAAAAAXF1tiOz3t/zs97f8XF1tiAAAAAAAAAAAAAAAAAAAAAAAAAAAAAAAAAAAAAAAAAAAAAAAAAAAAAAAAAAAAAAAAAAAAAAAAAAA4Ojr/ODo6/5GSkv/6+vr/+vr6//r6+v/6+vr/+vr6//r6+v/6+vr/1dXV2QAAAAAAAAAAAAAAAAAAAAAAAAAALzG+zDs97f8vMb7MAAAAAAAAAAAAAAAAAAAAABcXW2I7Pe3/Oz3t/xcXW2IAAAAAAAAAAAAAAAAAAAAAAAAAAAAAAAAAAAAAAAAAAAAAAAAAAAAAAAAAAAAAAAAAAAAAODo6/zg6Ov+RkpL/+vr6//r6+v/6+vr/+vr6//r6+v/6+vr/1dXV2QAAAAAAAAAAAAAAAAAAAAAAAAAALzG+zDs97f8vMb7MAAAAAAAAAAAAAAAAAAAAAAAAAAAAAAAAFxdbYjs97f87Pe3/FxdbYgAAAAAAAAAAAAAAAAAAAAAAAAAAAAAAAAAAAAAAAAAAAAAAAAAAAAAAAAAAAAAAADg6Ov84Ojr/kZKS//r6+v/6+vr/+vr6//r6+v/6+vr/1dXV2QAAAAAAAAAAAAAAAAAAAAAAAAAALzG+zDs97f8vMb7MAAAAAAAAAAAAAAAAAAAAAAAAAAAAAAAAAAAAAAAAAAAXF1tiOz3t/zs97f8XF1tiAAAAAAAAAAAAAAAAAAAAAAAAAAAAAAAAAAAAAAAAAAAAAAAAAAAAAAAAAAA4Ojr/ODo6/5GSkv/6+vr/+vr6//r6+v/6+vr/1dXV2QAAAAAAAAAAAAAAAAAAAAAAAAAALzG+zDs97f8vMb7MAAAAAAAAAAAAAAAAAAAAAAAAAAAAAAAAAAAAAAAAAAAAAAAAAAAAABcXW2I7Pe3/Oz3t/xcXW2IAAAAAAAAAAAAAAAAAAAAAAAAAAAAAAAAAAAAAAAAAAAAAAAAAAAAAODo6/zg6Ov+RkpL/+vr6//r6+v/6+vr/+vr6/2tra20AAAAAAAAAAAAAAAAAAAAAFxdbYjs97f8vMb7MAAAAAAAAAAAAAAAAAAAAAAAAAAAAAAAAAAAAAAAAAAAAAAAAAAAAAAAAAAAAAAAAFxdbYjs97f8vMb7MAAAAAAAAAAAAAAAAAAAAAAAAAAAAAAAAAAAAAAAAAAAAAAAAAAAAADg6Ov84Ojr/kZKS//r6+v/6+vr/+vr6/729vf+RkpL/T1BQvAAAAAAAAAAAAAAAAAAAAAAXF1tiAAAAAAAAAAAAAAAAAAAAAAAAAAAAAAAAAAAAAAAAAAAAAAAAAAAAAAAAAAAAAAAAAAAAAAAAAAAXF1tiAAAAAAAAAAAAAAAAAAAAAAAAAAAAAAAAAAAAAAAAAAAAAAAAAAAAAAAAAAA4Ojr/ODo6/5GSkv+9vb3/kZKS/zg6Ov84Ojr/ODo6/zg6Ov9ERUXdAAAAAAAAAAAAAAAAAAAAAAAAAAAAAAAAAAAAAAAAAAAAAAAAAAAAAAAAAAAAAAAAAAAAAAAAAAAAAAAAAAAAAAAAAAAAAAAAAAAAAAAAAAAAAAAAAAAAAAAAAAAAAAAAAAAAAAAAAAAAAAAAAAAAAAAAAAAAAAAAODo6/zg6Ov9mZ2f/ODo6/zg6Ov84Ojr/ODo6/zg6Ov84Ojr/ODo6/0RFRd0AAAAAAAAAAAAAAAAAAAAAAAAAAAAAAAASEhJRAAAAAAAAAAAAAAAAAAAAAAAAAAAAAAAAAAAAAAAAAAAAAAAAAAAAAAAAAAAAAAAAAAAAAAAAAAAAAAAAAAAAAAAAAAAAAAAAAAAAAAAAAAAAAAAAAAAAADg6Ov84Ojr/ODo6/zg6Ov84Ojr/kZKS/729vf/6+vr/+vr6//r6+v/6+vr/W1tbmwAAAAAAAAAAAAAAAGtra20rLCzDHh8figAAAAAAAAAAAAAAAAAAAAAAAAAAAAAAAAAAAAAAAAAAAAAAAAAAAAAAAAAAAAAAAAAAAAAAAAAAAAAAAAAAAAAAAAAAAAAAAAAAAAAAAAAAAAAAAAAAAAA4Ojr/ODo6/zg6Ov9mZ2f/vb29//r6+v/6+vr/+vr6//r6+v/6+vr/+vr6//r6+v9ra2ttAAAAAGtra21mZ2f/ODo6/x4fH4oAAAAAAAAAAAAAAAAAAAAAAAAAAAAAAAAAAAAAAAAAAAAAAAAAAAAAAAAAAAAAAAAAAAAAAAAAAAAAAAAAAAAAAAAAAAAAAAAAAAAAAAAAAAAAAAAeHx+KODo6/zg6Ov9mZ2f/+vr6//r6+v/6+vr/+vr6//r6+v/6+vr/+vr6//r6+v/6+vr/+vr6/6ysrK+9vb3/ODo6/zg6Ov84Ojr/AAAAAAAAAAAAAAAAAAAAAAAAAAAAAAAAAAAAAAAAAAAAAAAAAAAAAAAAAAAAAAAAAAAAAAAAAAAAAAAAAAAAAAAAAAAAAAAAAAAAAAAAAAASEhJRODo6/zg6Ov9mZ2f/+vr6//r6+v/6+vr/+vr6//r6+v/6+vr/+vr6//r6+v/6+vr/+vr6//r6+v/6+vr/+vr6/729vf84Ojr/ODo6/yssLMMAAAAAAAAAAAAAAAAAAAAAAAAAAAAAAAAAAAAAAAAAAAAAAAAAAAAAAAAAAAAAAAAAAAAAAAAAAAAAAAAAAAAAAAAAAAAAAAAAAAAAHh8fijg6Ov84Ojr/vb29//r6+v/6+vr/+vr6//r6+v/6+vr/+vr6//r6+v/6+vr/+vr6//r6+v/6+vr/+vr6//r6+v/6+vr/Zmdn/zg6Ov84Ojr/AAAAAAAAAAAAAAAAAAAAAAAAAAAAAAAAAAAAAAAAAAAAAAAAAAAAAAAAAAAAAAAAAAAAAAAAAAAAAAAAAAAAAAAAAAAAAAAAAAAAADg6Ov84Ojr/kZKS//r6+v/6+vr/+vr6//r6+v/6+vr/+vr6//r6+v/6+vr/+vr6//r6+v/6+vr/+vr6//r6+v/6+vr/+vr6//r6+v84Ojr/ODo6/x4fH4oAAAAAAAAAAAAAAAAAAAAAAAAAAAAAAAAAAAAAAAAAAAAAAAAAAAAAAAAAAAAAAAAAAAAAAAAAAAAAAAAAAAAAAAAAABISElE4Ojr/ODo6/729vf/6+vr/+vr6//r6+v/6+vr/+vr6//r6+v/6+vr/+vr6//r6+v/6+vr/+vr6//r6+v/6+vr/+vr6//r6+v/6+vr/Zmdn/zg6Ov8rLCzDAAAAAAAAAAAAAAAAAAAAAAAAAAAAAAAAAAAAAAAAAAAAAAAAAAAAAAAAAAAAAAAAAAAAAAAAAAAAAAAAAAAAAAAAAAAeHx+KODo6/zg6Ov/6+vr/+vr6//r6+v/6+vr/+vr6//r6+v/6+vr/+vr6//r6+v/6+vr/+vr6//r6+v/6+vr/+vr6//r6+v/6+vr/+vr6/5GSkv84Ojr/ODo6/wAAAAAAAAAAAAAAAAAAAAAAAAAAAAAAAAAAAAAAAAAAAAAAAAAAAAAAAAAAAAAAAAAAAAAAAAAAAAAAAAAAAAAAAAAAHh8fijg6Ov84Ojr/+vr6//r6+v/6+vr/+vr6//r6+v/6+vr/+vr6//r6+v/6+vr/+vr6//r6+v/6+vr/+vr6//r6+v/6+vr/+vr6//r6+v+RkpL/ODo6/zg6Ov8AAAAAAAAAAAAAAAAAAAAAAAAAAAAAAAAAAAAAAAAAAAAAAAAAAAAAAAAAAAAAAAAAAAAAAAAAAAAAAAAAAAAAAAAAAB4fH4o4Ojr/ODo6//r6+v/6+vr/+vr6//r6+v/6+vr/+vr6//r6+v/6+vr/+vr6//r6+v/6+vr/+vr6//r6+v/6+vr/+vr6//r6+v/6+vr/kZKS/zg6Ov84Ojr/AAAAAAAAAAAAAAAAAAAAAAAAAAAAAAAAAAAAAAAAAAAAAAAAAAAAAAAAAAAAAAAAAAAAAAAAAAAAAAAAAAAAAAAAAAAeHx+KODo6/zg6Ov/6+vr/+vr6//r6+v/6+vr/+vr6//r6+v/6+vr/+vr6//r6+v/6+vr/+vr6//r6+v/6+vr/+vr6//r6+v/6+vr/+vr6/5GSkv84Ojr/ODo6/wAAAAAAAAAAAAAAAAAAAAAAAAAAAAAAAAAAAAAAAAAAAAAAAAAAAAAAAAAAAAAAAAAAAAAAAAAAAAAAAAAAAAAAAAAAAAAAADg6Ov84Ojr/kZKS//r6+v/6+vr/+vr6//r6+v/6+vr/+vr6//r6+v/6+vr/+vr6//r6+v/6+vr/+vr6//r6+v/6+vr/+vr6//r6+v84Ojr/ODo6/x4fH4oAAAAAAAAAAAAAAAAAAAAAAAAAAAAAAAAAAAAAAAAAAAAAAAAAAAAAAAAAAAAAAAAAAAAAAAAAAAAAAAAAAAAAAAAAAAAAAAArLCzDODo6/2ZnZ//6+vr/+vr6//r6+v/6+vr/+vr6//r6+v/6+vr/+vr6//r6+v/6+vr/+vr6//r6+v/6+vr/+vr6//r6+v+9vb3/ODo6/zg6Ov8SEhJRAAAAAAAAAAAAAAAAAAAAAAAAAAAAAAAAAAAAAAAAAAAAAAAAAAAAAAAAAAAAAAAAAAAAAAAAAAAAAAAAAAAAAAAAAAAAAAAAHh8fijg6Ov84Ojr/kZKS//r6+v/6+vr/+vr6//r6+v/6+vr/+vr6//r6+v/6+vr/+vr6//r6+v/6+vr/+vr6//r6+v/6+vr/ODo6/zg6Ov84Ojr/AAAAAAAAAAAAAAAAAAAAAAAAAAAAAAAAAAAAAAAAAAAAAAAAAAAAAAAAAAAAAAAAAAAAAAAAAAAAAAAAAAAAAAAAAAAAAAAAAAAAAAAAAAArLCzDODo6/zg6Ov+9vb3/+vr6//r6+v/6+vr/+vr6//r6+v/6+vr/+vr6//r6+v/6+vr/+vr6//r6+v/6+vr/Zmdn/zg6Ov84Ojr/EhISUQAAAAAAAAAAAAAAAAAAAAAAAAAAAAAAAAAAAAAAAAAAAAAAAAAAAAAAAAAAAAAAAAAAAAAAAAAAAAAAAAAAAAAAAAAAAAAAAAAAAAAAAAAAEhISUTg6Ov84Ojr/ODo6/729vf/6+vr/+vr6//r6+v/6+vr/+vr6//r6+v/6+vr/+vr6//r6+v/6+vr/Zmdn/zg6Ov84Ojr/KywswwAAAAAAAAAAAAAAAAAAAAAAAAAAAAAAAAAAAAAAAAAAAAAAAAAAAAAAAAAAAAAAAAAAAAAAAAAAAAAAAAAAAAAAAAAAAAAAAAAAAAAAAAAAAAAAAAAAAAASEhJRODo6/zg6Ov84Ojr/Zmdn//r6+v/6+vr/+vr6//r6+v/6+vr/+vr6//r6+v+9vb3/ODo6/zg6Ov84Ojr/KywswwAAAAAAAAAAAAAAAAAAAAAAAAAAAAAAAAAAAAAAAAAAAAAAAAAAAAAAAAAAAAAAAAAAAAAAAAAAAAAAAAAAAAAAAAAAAAAAAAAAAAAAAAAAAAAAAAAAAAAAAAAAAAAAABISElE4Ojr/ODo6/zg6Ov84Ojr/Zmdn/5GSkv+RkpL/kZKS/5GSkv84Ojr/ODo6/zg6Ov84Ojr/KywswwAAAAAAAAAAAAAAAAAAAAAAAAAAAAAAAAAAAAAAAAAAAAAAAAAAAAAAAAAAAAAAAAAAAAAAAAAAAAAAAAAAAAAAAAAAAAAAAAAAAAAAAAAAAAAAAAAAAAAAAAAAAAAAAAAAAAAAAAAAAAAAACssLMM4Ojr/ODo6/zg6Ov84Ojr/ODo6/zg6Ov84Ojr/ODo6/zg6Ov84Ojr/EhISUQAAAAAAAAAAAAAAAAAAAAAAAAAAAAAAAAAAAAAAAAAAAAAAAAAAAAAAAAAAAAAAAAAAAAAAAAAAAAAAAAAAAAAAAAAAAAAAAAAAAAAAAAAAAAAAAAAAAAAAAAAAAAAAAAAAAAAAAAAAAAAAAAAAAAAAAAAAAAAAAB4fH4orLCzDODo6/zg6Ov84Ojr/ODo6/x4fH4oSEhJRAAAAAAAAAAAAAAAAAAAAAAAAAAAAAAAAAAAAAAAAAAAAAAAAAAAAAAAAAAAAAAAAAAAAAAAAAAAAAAAAAAAAAAAAAAAnAAAAGAAAAAEAAAAAAAAA////AAAAAAAlAAAADAAAAAEAAABMAAAAZAAAAMwAAAAMAAAApQEAADgAAADMAAAADAAAANoAAAAtAAAAIQDwAAAAAAAAAAAAAACAPwAAAAAAAAAAAACAPwAAAAAAAAAAAAAAAAAAAAAAAAAAAAAAAAAAAAAAAAAAJQAAAAwAAAAAAACAKAAAAAwAAAABAAAAUgAAAHABAAABAAAA4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MwAAAAMAAAApgEAADkAAAAlAAAADAAAAAEAAABUAAAAqAAAAM0AAAAMAAAApAEAADgAAAABAAAAAAD1QMdx9EDNAAAADAAAAA8AAABMAAAAAAAAAAAAAAAAAAAA//////////9sAAAARgBpAHIAbQBhACAAbgBvACAAdgDhAGwAaQBkAGEAkBcQAAAACAAAAAsAAAAcAAAAEAAAAAkAAAASAAAAEwAAAAkAAAAPAAAAEAAAAAgAAAAIAAAAEwAAABAAAABLAAAAQAAAADAAAAAFAAAAIAAAAAEAAAABAAAAEAAAAAAAAAAAAAAATAMAAIABAAAAAAAAAAAAAEwDAACAAQ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RgAAAAAAAACFAAAAIQDwAAAAAAAAAAAAAACAPwAAAAAAAAAAAACAPwAAAAAAAAAAAAAAAAAAAAAAAAAAAAAAAAAAAAAAAAAAJQAAAAwAAAAAAACAKAAAAAwAAAADAAAAJwAAABgAAAADAAAAAAAAAAAAAAAAAAAAJQAAAAwAAAADAAAATAAAAGQAAAAAAAAAAAAAAP//////////AAAAAEYAAAAAAwAAAAAAACEA8AAAAAAAAAAAAAAAgD8AAAAAAAAAAAAAgD8AAAAAAAAAAAAAAAAAAAAAAAAAAAAAAAAAAAAAAAAAACUAAAAMAAAAAAAAgCgAAAAMAAAAAwAAACcAAAAYAAAAAwAAAAAAAAAAAAAAAAAAACUAAAAMAAAAAwAAAEwAAABkAAAAAAAAAAAAAAD//////////wADAABGAAAAAAAAAIUAAAAhAPAAAAAAAAAAAAAAAIA/AAAAAAAAAAAAAIA/AAAAAAAAAAAAAAAAAAAAAAAAAAAAAAAAAAAAAAAAAAAlAAAADAAAAAAAAIAoAAAADAAAAAMAAAAnAAAAGAAAAAMAAAAAAAAAAAAAAAAAAAAlAAAADAAAAAMAAABMAAAAZAAAAAAAAADLAAAA/wIAAMwAAAAAAAAAywAAAAADAAACAAAAIQDwAAAAAAAAAAAAAACAPwAAAAAAAAAAAACAPwAAAAAAAAAAAAAAAAAAAAAAAAAAAAAAAAAAAAAAAAAAJQAAAAwAAAAAAACAKAAAAAwAAAADAAAAJwAAABgAAAADAAAAAAAAAP///wAAAAAAJQAAAAwAAAADAAAATAAAAGQAAAAAAAAARgAAAP8CAADKAAAAAAAAAEYAAAAAAwAAhQAAACEA8AAAAAAAAAAAAAAAgD8AAAAAAAAAAAAAgD8AAAAAAAAAAAAAAAAAAAAAAAAAAAAAAAAAAAAAAAAAACUAAAAMAAAAAAAAgCgAAAAMAAAAAwAAACcAAAAYAAAAAwAAAAAAAAD///8AAAAAACUAAAAMAAAAAwAAAEwAAABkAAAAGgAAAKcAAAAwAAAAygAAABoAAAC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GwAAAKcAAAAvAAAAygAAAAEAAAAAAPVAx3H0QBsAAADLAAAAAQAAAEwAAAAEAAAAGgAAAKcAAAAxAAAAywAAAFAAAABYAAYXFQAAABYAAAAMAAAAAAAAACUAAAAMAAAAAgAAACcAAAAYAAAABAAAAAAAAAD///8AAAAAACUAAAAMAAAABAAAAEwAAABkAAAAfwAAAFEAAADlAgAAygAAAH8AAABRAAAAZwIAAHoAAAAhAPAAAAAAAAAAAAAAAIA/AAAAAAAAAAAAAIA/AAAAAAAAAAAAAAAAAAAAAAAAAAAAAAAAAAAAAAAAAAAlAAAADAAAAAAAAIAoAAAADAAAAAQAAAAnAAAAGAAAAAQAAAAAAAAA////AAAAAAAlAAAADAAAAAQAAABMAAAAZAAAAH8AAABRAAAA5QIAAL8AAAB/AAAAUQAAAGcCAABvAAAAIQDwAAAAAAAAAAAAAACAPwAAAAAAAAAAAACAPwAAAAAAAAAAAAAAAAAAAAAAAAAAAAAAAAAAAAAAAAAAJQAAAAwAAAAAAACAKAAAAAwAAAAEAAAAJwAAABgAAAAEAAAAAAAAAP///wAAAAAAJQAAAAwAAAAEAAAATAAAAGQAAAB/AAAAfwAAALcBAAC/AAAAfwAAAH8AAAA5AQAAQQAAACEA8AAAAAAAAAAAAAAAgD8AAAAAAAAAAAAAgD8AAAAAAAAAAAAAAAAAAAAAAAAAAAAAAAAAAAAAAAAAACUAAAAMAAAAAAAAgCgAAAAMAAAABAAAAFIAAABwAQAABAAAAN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B/AAAAfwAAALgBAADAAAAAJQAAAAwAAAAEAAAAVAAAAJwAAACAAAAAfwAAALYBAAC/AAAAAQAAAAAA9UDHcfRAgAAAAH8AAAANAAAATAAAAAAAAAAAAAAAAAAAAP//////////aAAAAEQAaQBlAGcAbwAgAEIAYQByAGIAbwB6AGEAFQQiAAAADAAAABkAAAAcAAAAHAAAAA0AAAAcAAAAGAAAABEAAAAcAAAAHAAAABYAAAAYAAAASwAAAEAAAAAwAAAABQAAACAAAAABAAAAAQAAABAAAAAAAAAAAAAAAEwDAACAAQAAAAAAAAAAAABMAwAAgAEAACUAAAAMAAAAAgAAACcAAAAYAAAABQAAAAAAAAD///8AAAAAACUAAAAMAAAABQAAAEwAAABkAAAAAAAAANgAAABLAwAAdAEAAAAAAADYAAAATAMAAJ0AAAAhAPAAAAAAAAAAAAAAAIA/AAAAAAAAAAAAAIA/AAAAAAAAAAAAAAAAAAAAAAAAAAAAAAAAAAAAAAAAAAAlAAAADAAAAAAAAIAoAAAADAAAAAUAAAAnAAAAGAAAAAUAAAAAAAAA////AAAAAAAlAAAADAAAAAUAAABMAAAAZAAAAE4AAADYAAAA/QIAAAQBAABOAAAA2AAAALACAAAtAAAAIQDwAAAAAAAAAAAAAACAPwAAAAAAAAAAAACAPwAAAAAAAAAAAAAAAAAAAAAAAAAAAAAAAAAAAAAAAAAAJQAAAAwAAAAAAACAKAAAAAwAAAAFAAAAJQAAAAwAAAABAAAAGAAAAAwAAAAAAAAAEgAAAAwAAAABAAAAHgAAABgAAABOAAAA2AAAAP4CAAAFAQAAJQAAAAwAAAABAAAAVAAAAJwAAABPAAAA2AAAAB0BAAAEAQAAAQAAAAAA9UDHcfRATwAAANgAAAANAAAATAAAAAAAAAAAAAAAAAAAAP//////////aAAAAEQAaQBlAGcAbwAgAEIAYQByAGIAbwB6AGEAMzQWAAAACAAAABEAAAATAAAAEwAAAAkAAAASAAAAEAAAAAsAAAATAAAAEwAAAA4AAAAQAAAASwAAAEAAAAAwAAAABQAAACAAAAABAAAAAQAAABAAAAAAAAAAAAAAAEwDAACAAQAAAAAAAAAAAABMAwAAgAEAACUAAAAMAAAAAgAAACcAAAAYAAAABQAAAAAAAAD///8AAAAAACUAAAAMAAAABQAAAEwAAABkAAAATgAAABABAAD9AgAAPAEAAE4AAAAQAQAAsAIAAC0AAAAhAPAAAAAAAAAAAAAAAIA/AAAAAAAAAAAAAIA/AAAAAAAAAAAAAAAAAAAAAAAAAAAAAAAAAAAAAAAAAAAlAAAADAAAAAAAAIAoAAAADAAAAAUAAAAlAAAADAAAAAEAAAAYAAAADAAAAAAAAAASAAAADAAAAAEAAAAeAAAAGAAAAE4AAAAQAQAA/gIAAD0BAAAlAAAADAAAAAEAAABUAAAArAAAAE8AAAAQAQAAHAEAADwBAAABAAAAAAD1QMdx9EBPAAAAEAEAABAAAABMAAAAAAAAAAAAAAAAAAAA//////////9sAAAARABpAHIAZQBjAHQAbwByACAAdABpAHQAdQBsAGEAcgAWAAAACAAAAAsAAAARAAAADwAAAAsAAAATAAAACwAAAAkAAAALAAAACAAAAAsAAAASAAAACAAAABAAAAALAAAASwAAAEAAAAAwAAAABQAAACAAAAABAAAAAQAAABAAAAAAAAAAAAAAAEwDAACAAQAAAAAAAAAAAABMAwAAgAEAACUAAAAMAAAAAgAAACcAAAAYAAAABQAAAAAAAAD///8AAAAAACUAAAAMAAAABQAAAEwAAABkAAAATgAAAEgBAAD9AgAAdAEAAE4AAABIAQAAsAIAAC0AAAAhAPAAAAAAAAAAAAAAAIA/AAAAAAAAAAAAAIA/AAAAAAAAAAAAAAAAAAAAAAAAAAAAAAAAAAAAAAAAAAAlAAAADAAAAAAAAIAoAAAADAAAAAUAAAAlAAAADAAAAAEAAAAYAAAADAAAAAAAAAASAAAADAAAAAEAAAAWAAAADAAAAAAAAABUAAAARAEAAE8AAABIAQAA/AIAAHQBAAABAAAAAAD1QMdx9EBPAAAASAEAACkAAABMAAAABAAAAE4AAABIAQAA/gIAAHUBAACgAAAARgBpAHIAbQBhAGQAbwAgAHAAbwByADoAIABEAEkARQBHAE8AIABCAEUATgBKAEEATQBJAE4AIABCAEEAUgBCAE8AWgBBACAAQwBMAEEAUgBJACAtEAAAAAgAAAALAAAAHAAAABAAAAATAAAAEwAAAAkAAAATAAAAEwAAAAsAAAAHAAAACQAAABYAAAAJAAAAEAAAABYAAAAYAAAACQAAABIAAAAQAAAAGAAAAAsAAAAVAAAAHQAAAAkAAAAYAAAACQAAABIAAAAVAAAAEwAAABIAAAAYAAAAEgAAABUAAAAJAAAAFAAAAA8AAAAVAAAAEwAAAAk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oNaMeh1Mvtt2gQxdXBeNimxqe5/fy6vdB95CWI38QR4=</DigestValue>
    </Reference>
    <Reference Type="http://www.w3.org/2000/09/xmldsig#Object" URI="#idOfficeObject">
      <DigestMethod Algorithm="http://www.w3.org/2001/04/xmlenc#sha256"/>
      <DigestValue>Q6SIAR+RBCtAV6xqxk//d2fNPgoy2TAoGctDPWsCsgk=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oz242/tdY07ZISBf3NVpkXaSRkJY7rTb693mr9q9Uqk=</DigestValue>
    </Reference>
    <Reference Type="http://www.w3.org/2000/09/xmldsig#Object" URI="#idValidSigLnImg">
      <DigestMethod Algorithm="http://www.w3.org/2001/04/xmlenc#sha256"/>
      <DigestValue>ZgyUJ9xJtim4PEPHDxVkaWhbhe8p37i5TWFz65R3qX0=</DigestValue>
    </Reference>
    <Reference Type="http://www.w3.org/2000/09/xmldsig#Object" URI="#idInvalidSigLnImg">
      <DigestMethod Algorithm="http://www.w3.org/2001/04/xmlenc#sha256"/>
      <DigestValue>xTEFgFv3DhWzYqxgxibqZa9MiVx8IUIIKvDR+jL3Iq8=</DigestValue>
    </Reference>
  </SignedInfo>
  <SignatureValue>DtMLH4fqV4H1gB80PnIODRdbkGBqGLGO2XrRO0Sxd9cH3DFmv2qJRFCosYyguKFdkCBKaH2QpImJ
kHgopnDT97jP4sf3EdeFhmGOvZE2h/jtGt63iRvqxNcbEbgATv9OSb3sbqXXQlqUh2Yn7YHFU1eL
ji/uLa1avgYt4VvNHOQhwDiq0KCHfAn9bGMlUCwr/Msyvzj2Ak8XWlXPkmnbMcoZoI/5dA4R44kt
uiz4i1byBknRClr+aKNWYzcUX2xW6Hedv0yIQhkFLyjDAkPj8A/omQd9JotanpuU7KntXyT/JhgW
zOQviLlN1SgvjnySvnDqIC06vKNjrQhUDeQSsw==</SignatureValue>
  <KeyInfo>
    <X509Data>
      <X509Certificate>MIIIHTCCBgWgAwIBAgITXAAAwX6nzhzRQLnT6AAAAADBfjANBgkqhkiG9w0BAQsFADBXMRcwFQYDVQQFEw5SVUMgODAwODA2MTAtNzEVMBMGA1UEChMMQ09ERTEwMCBTLkEuMQswCQYDVQQGEwJQWTEYMBYGA1UEAxMPQ0EtQ09ERTEwMCBTLkEuMB4XDTIyMDcyOTEzMDMwM1oXDTI0MDcyOTEzMDMwM1owga0xKTAnBgNVBAMTIEZBQklPIE1BUkNFTE8gUEVTU09MQU5JIFJJUVVFTE1FMRcwFQYDVQQKEw5QRVJTT05BIEZJU0lDQTELMAkGA1UEBhMCUFkxFjAUBgNVBCoTDUZBQklPIE1BUkNFTE8xGzAZBgNVBAQTElBFU1NPTEFOSSBSSVFVRUxNRTESMBAGA1UEBRMJQ0kyNjM3NzA2MREwDwYDVQQLEwhGSVJNQSBGMjCCASIwDQYJKoZIhvcNAQEBBQADggEPADCCAQoCggEBAKKjkbKsF5dIva7yG+WBmo7xGvaJ7yiH1yuaoybjR+QgB/gF81w1aHOEGoWFEdAasazfsttOWf8uTq77y6Oz9yHn37hQQnYVgEOrQxwVEqlcnU0knfBOgnRbCJoqUIqt2DSmyt6/9MuFCB34RO0U8o95dEOUVZqt98c1rFg+0lytjCwbRYmAmEpxPv4F51rXtVAd9/2rtRsAk/WvEKWLwuvsCaB+DS8kPJsYjH7u79X6ztDehHeH2QPs+FR3wOa4wFZfUphnJnymDGNRhsu6nit7ldRiGGmG8juNsRd0LlzS81A3DeBMs08qkqQp+TdP/qY7Xl/Aeabvgn1oSNm0Pi0CAwEAAaOCA4kwggOFMA4GA1UdDwEB/wQEAwIF4DAMBgNVHRMBAf8EAjAAMCAGA1UdJQEB/wQWMBQGCCsGAQUFBwMCBggrBgEFBQcDBDAdBgNVHQ4EFgQUM7arPW9p/NRKYaWxmQoaJA33tnYwHwYDVR0jBBgwFoAUJ/baOwt/k/hZEtAVqkLPspaWPUUwgYgGA1UdHwSBgDB+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gYDVR0RBCMwIYEfRkFCSU8uUEVTU09MQU5JQEhQQVVESVRPUkVTLkNPTTANBgkqhkiG9w0BAQsFAAOCAgEAkxMHWG78Ro9H0mPme1Ze+o0l6hOE521YuBw1GgO2FeOelKdKnzK/3GqhLnR4z8rH6ZYMzvYdU02iw5Y/1Gf30XDZBOgRp2vwWG67Ob26D49BzHUNDfAVNd3gEzmhAKsJrRrK+5plhHytEScUMrLU+vOBwb5OcEw4/mkvKzFkuXT8CoTspXkfvE7+r+R7BMMf81TD+HpFlfbBVCYyLdKDWkjcS5dJuzRUp0rowO1/whUtfZPyvdph7vG3Nk4Zph0QZBu9uAj5sqbPNj5VaD01OpiEJnPtEBD3BDmMTYh1E8jA3NZfDsr7dwDx7iJLOm4QwUUzBf2SOC6h/iZ27BFfYtG5igIU5P2uzhn+I/WUwqy/L0HB7Qq/N5DPZptQVVVJxIepT6bHKJnqf6CEReVgl5zwsxdCbwJW3VBYrSv7HxRgDlJFwqXUijhOFQZNToFv2DITqjekUS1nHLX+7ArOb2sih0nS+VbA/VLzUbo2rJjTt4svb3jsk5kyJPrVnV6oQHpsMY7gB8gY8ngfF6xghP4pv8jLUo7OZ+J/cBXpKCnaAqhaU+LooLyiokyKfsmp8Hz7Ye7y0ZNV1he1TVUd/jIM68z7HuTl12QvSVP4m75Lz3hpbAOqwCd0f1dEB541R0wl4df8A9yvR/KNJxfk2K5s/J5i0WnYhGO23FRaK2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Txt1swa/bPIPmFGsZWwoEndhraiRbq1VVTVPE31ObWk=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7A6vZ7zkPzS9u46vAbI0CTdJK407ShiI7XQz2/JE+gs=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H6D/PCqqbYO40jDHb2D60Vt9hQ8U6OvF/s+CNSTog8o=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evLzBN/FKF+HS74Qdv10+CU1JQPXeHwtofEfP2sc0e4=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1SMfItI0vYaOoxDr33zyeI18EyQM+MTbv/d4PxzVhR0=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nssU7vY2dcgKUywGNl98M7XIzTEEKx7epX16+hDrUm0=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Sq09IcEMc0OyzgElN/R1RheQxt7xNWTgUQttKfEduUs=</DigestValue>
      </Reference>
      <Reference URI="/xl/media/image4.emf?ContentType=image/x-emf">
        <DigestMethod Algorithm="http://www.w3.org/2001/04/xmlenc#sha256"/>
        <DigestValue>wmvosK7xqarfhHlwSFGOmbuO/WXD+DNMn6W3Rzlq2vQ=</DigestValue>
      </Reference>
      <Reference URI="/xl/media/image5.emf?ContentType=image/x-emf">
        <DigestMethod Algorithm="http://www.w3.org/2001/04/xmlenc#sha256"/>
        <DigestValue>SajtG0SrrgZO+/SQQjUSz4mu/+kEKHoUrqYBPgf5Pyc=</DigestValue>
      </Reference>
      <Reference URI="/xl/media/image6.emf?ContentType=image/x-emf">
        <DigestMethod Algorithm="http://www.w3.org/2001/04/xmlenc#sha256"/>
        <DigestValue>heVTmAkJu6KE6RXpg5JxJt+jc4lqqmOk7wLsVG+IsnY=</DigestValue>
      </Reference>
      <Reference URI="/xl/media/image7.emf?ContentType=image/x-emf">
        <DigestMethod Algorithm="http://www.w3.org/2001/04/xmlenc#sha256"/>
        <DigestValue>1sJlwwPNAt/2mQzkWmCygQusDTo5RoAZBtmEcvsd2JQ=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adxJ+eSKsW+DPP/SKAaVGn4zwFM7hfPbcP2IwB7CIyE=</DigestValue>
      </Reference>
      <Reference URI="/xl/styles.xml?ContentType=application/vnd.openxmlformats-officedocument.spreadsheetml.styles+xml">
        <DigestMethod Algorithm="http://www.w3.org/2001/04/xmlenc#sha256"/>
        <DigestValue>aIvTIpW8AgNqkQSB0s7bTzkGEvmQPJyFclxeUbSQXxE=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Xhxj+hmEuNaR5TGDgl61vYddmFEr/TjYYkvvDl52+DI=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1hwWLEcX7cD0rekfAruNsbip83VGHwMp3VxnZ1/0Y+I=</DigestValue>
      </Reference>
      <Reference URI="/xl/worksheets/sheet10.xml?ContentType=application/vnd.openxmlformats-officedocument.spreadsheetml.worksheet+xml">
        <DigestMethod Algorithm="http://www.w3.org/2001/04/xmlenc#sha256"/>
        <DigestValue>v/gRmh4SCcAu3htqv7sgQ6haygYiTtWtZ2+mr/crc4s=</DigestValue>
      </Reference>
      <Reference URI="/xl/worksheets/sheet11.xml?ContentType=application/vnd.openxmlformats-officedocument.spreadsheetml.worksheet+xml">
        <DigestMethod Algorithm="http://www.w3.org/2001/04/xmlenc#sha256"/>
        <DigestValue>9VQodMfmu8Vcrdekv2CPImNTEbzTCJW9jtcOO0RR6Dc=</DigestValue>
      </Reference>
      <Reference URI="/xl/worksheets/sheet12.xml?ContentType=application/vnd.openxmlformats-officedocument.spreadsheetml.worksheet+xml">
        <DigestMethod Algorithm="http://www.w3.org/2001/04/xmlenc#sha256"/>
        <DigestValue>xLI9lf9BkDNiFdzYWLvPqF8yWgWUNkPJEoSzkkhKg2Q=</DigestValue>
      </Reference>
      <Reference URI="/xl/worksheets/sheet13.xml?ContentType=application/vnd.openxmlformats-officedocument.spreadsheetml.worksheet+xml">
        <DigestMethod Algorithm="http://www.w3.org/2001/04/xmlenc#sha256"/>
        <DigestValue>6hbqnHkTRCApBH1OciO9EC5+iQ5v982YBVC+cRWqRg0=</DigestValue>
      </Reference>
      <Reference URI="/xl/worksheets/sheet14.xml?ContentType=application/vnd.openxmlformats-officedocument.spreadsheetml.worksheet+xml">
        <DigestMethod Algorithm="http://www.w3.org/2001/04/xmlenc#sha256"/>
        <DigestValue>zjCWDBsS7BNtu76wLeNxkFrpZFjovbZjObdei6OnZj4=</DigestValue>
      </Reference>
      <Reference URI="/xl/worksheets/sheet15.xml?ContentType=application/vnd.openxmlformats-officedocument.spreadsheetml.worksheet+xml">
        <DigestMethod Algorithm="http://www.w3.org/2001/04/xmlenc#sha256"/>
        <DigestValue>QDBmI1RTHobKhxdAQ06Rdo5SsHHuKpRZJOATMX4Ykgo=</DigestValue>
      </Reference>
      <Reference URI="/xl/worksheets/sheet16.xml?ContentType=application/vnd.openxmlformats-officedocument.spreadsheetml.worksheet+xml">
        <DigestMethod Algorithm="http://www.w3.org/2001/04/xmlenc#sha256"/>
        <DigestValue>+hl/X2W4jcYy6Mv5SgtKF6moSWvg17CdBOIOps3i65A=</DigestValue>
      </Reference>
      <Reference URI="/xl/worksheets/sheet17.xml?ContentType=application/vnd.openxmlformats-officedocument.spreadsheetml.worksheet+xml">
        <DigestMethod Algorithm="http://www.w3.org/2001/04/xmlenc#sha256"/>
        <DigestValue>BFSVGHg+rMt3YkfjgHB2LXx5PX+UPOO7g6XjKMTu1q4=</DigestValue>
      </Reference>
      <Reference URI="/xl/worksheets/sheet18.xml?ContentType=application/vnd.openxmlformats-officedocument.spreadsheetml.worksheet+xml">
        <DigestMethod Algorithm="http://www.w3.org/2001/04/xmlenc#sha256"/>
        <DigestValue>/BMAwicYNpxTY+aTUIU9o2Wdi95Sx1agDXfnir0+Jhg=</DigestValue>
      </Reference>
      <Reference URI="/xl/worksheets/sheet19.xml?ContentType=application/vnd.openxmlformats-officedocument.spreadsheetml.worksheet+xml">
        <DigestMethod Algorithm="http://www.w3.org/2001/04/xmlenc#sha256"/>
        <DigestValue>Q0+1dEbtfLreLZRH9tXLoWeRSrCWP6Da/xjfQUl8m64=</DigestValue>
      </Reference>
      <Reference URI="/xl/worksheets/sheet2.xml?ContentType=application/vnd.openxmlformats-officedocument.spreadsheetml.worksheet+xml">
        <DigestMethod Algorithm="http://www.w3.org/2001/04/xmlenc#sha256"/>
        <DigestValue>UIYZcsLNyVa4Zwau7I/a/9FlDqrIDZGG/Qt6KUY13EE=</DigestValue>
      </Reference>
      <Reference URI="/xl/worksheets/sheet20.xml?ContentType=application/vnd.openxmlformats-officedocument.spreadsheetml.worksheet+xml">
        <DigestMethod Algorithm="http://www.w3.org/2001/04/xmlenc#sha256"/>
        <DigestValue>QKHoE/8nVrAZ+4UkvJBa1d5kRm7hnevMc3ZsYFzjelU=</DigestValue>
      </Reference>
      <Reference URI="/xl/worksheets/sheet21.xml?ContentType=application/vnd.openxmlformats-officedocument.spreadsheetml.worksheet+xml">
        <DigestMethod Algorithm="http://www.w3.org/2001/04/xmlenc#sha256"/>
        <DigestValue>hrRapHiIYV1uIGIC4UrpmuRKIGOme/aCXvORWI34UbY=</DigestValue>
      </Reference>
      <Reference URI="/xl/worksheets/sheet22.xml?ContentType=application/vnd.openxmlformats-officedocument.spreadsheetml.worksheet+xml">
        <DigestMethod Algorithm="http://www.w3.org/2001/04/xmlenc#sha256"/>
        <DigestValue>S4qVXHTeJzITQ1JsBlKYurfobEsMcce0lM1ogNDvXHA=</DigestValue>
      </Reference>
      <Reference URI="/xl/worksheets/sheet23.xml?ContentType=application/vnd.openxmlformats-officedocument.spreadsheetml.worksheet+xml">
        <DigestMethod Algorithm="http://www.w3.org/2001/04/xmlenc#sha256"/>
        <DigestValue>OdJpmRtCY0g6/ug8JEfIayR/5Ns0oGJ3viNcFcoUD/c=</DigestValue>
      </Reference>
      <Reference URI="/xl/worksheets/sheet24.xml?ContentType=application/vnd.openxmlformats-officedocument.spreadsheetml.worksheet+xml">
        <DigestMethod Algorithm="http://www.w3.org/2001/04/xmlenc#sha256"/>
        <DigestValue>TYibDELu7n9uikLQC/GIO8uv3+jWTBD3yS3EjSjwCwA=</DigestValue>
      </Reference>
      <Reference URI="/xl/worksheets/sheet25.xml?ContentType=application/vnd.openxmlformats-officedocument.spreadsheetml.worksheet+xml">
        <DigestMethod Algorithm="http://www.w3.org/2001/04/xmlenc#sha256"/>
        <DigestValue>XKBsHhXIgdIDmbRO8AdjcLgL2sWSOvTqmn/PPAJ4LBo=</DigestValue>
      </Reference>
      <Reference URI="/xl/worksheets/sheet26.xml?ContentType=application/vnd.openxmlformats-officedocument.spreadsheetml.worksheet+xml">
        <DigestMethod Algorithm="http://www.w3.org/2001/04/xmlenc#sha256"/>
        <DigestValue>74D08+DZbMT4/Wn678Zm6qCkpwxbJuSWJKCGy+GEw04=</DigestValue>
      </Reference>
      <Reference URI="/xl/worksheets/sheet27.xml?ContentType=application/vnd.openxmlformats-officedocument.spreadsheetml.worksheet+xml">
        <DigestMethod Algorithm="http://www.w3.org/2001/04/xmlenc#sha256"/>
        <DigestValue>Cfi0OWEFMymWbvMu4avCwrIV8IiCXzC40hXop+enj/Q=</DigestValue>
      </Reference>
      <Reference URI="/xl/worksheets/sheet28.xml?ContentType=application/vnd.openxmlformats-officedocument.spreadsheetml.worksheet+xml">
        <DigestMethod Algorithm="http://www.w3.org/2001/04/xmlenc#sha256"/>
        <DigestValue>UeJ4olSuoCNC8jeOzuCdhVnduOKEWyzzcB6ySqUtrSs=</DigestValue>
      </Reference>
      <Reference URI="/xl/worksheets/sheet29.xml?ContentType=application/vnd.openxmlformats-officedocument.spreadsheetml.worksheet+xml">
        <DigestMethod Algorithm="http://www.w3.org/2001/04/xmlenc#sha256"/>
        <DigestValue>nkf7adUXD5WM47nbV6L3Lfa7TdYO9hIM8hDL5FVqrxU=</DigestValue>
      </Reference>
      <Reference URI="/xl/worksheets/sheet3.xml?ContentType=application/vnd.openxmlformats-officedocument.spreadsheetml.worksheet+xml">
        <DigestMethod Algorithm="http://www.w3.org/2001/04/xmlenc#sha256"/>
        <DigestValue>wK0GnEeR1Zt1FXFUVHCueEz4gHjkTtiqU9O8+qCbEsc=</DigestValue>
      </Reference>
      <Reference URI="/xl/worksheets/sheet30.xml?ContentType=application/vnd.openxmlformats-officedocument.spreadsheetml.worksheet+xml">
        <DigestMethod Algorithm="http://www.w3.org/2001/04/xmlenc#sha256"/>
        <DigestValue>nXun5/s07xUAOHP563CUzDVy1wu5a6ZM8IQQRG2ZNwQ=</DigestValue>
      </Reference>
      <Reference URI="/xl/worksheets/sheet4.xml?ContentType=application/vnd.openxmlformats-officedocument.spreadsheetml.worksheet+xml">
        <DigestMethod Algorithm="http://www.w3.org/2001/04/xmlenc#sha256"/>
        <DigestValue>rcoSLjnQQUJhQEWDyIvHPI+h77kZkXakilSAlHeFrNo=</DigestValue>
      </Reference>
      <Reference URI="/xl/worksheets/sheet5.xml?ContentType=application/vnd.openxmlformats-officedocument.spreadsheetml.worksheet+xml">
        <DigestMethod Algorithm="http://www.w3.org/2001/04/xmlenc#sha256"/>
        <DigestValue>J+7R/RvsD5RAs0T76O3FXbfL/U56PvnGhTbhbPa9DYI=</DigestValue>
      </Reference>
      <Reference URI="/xl/worksheets/sheet6.xml?ContentType=application/vnd.openxmlformats-officedocument.spreadsheetml.worksheet+xml">
        <DigestMethod Algorithm="http://www.w3.org/2001/04/xmlenc#sha256"/>
        <DigestValue>RV8E4qJTwm2rMjLII0QqiNXTa0Gi16y1YfOSBkE6MDY=</DigestValue>
      </Reference>
      <Reference URI="/xl/worksheets/sheet7.xml?ContentType=application/vnd.openxmlformats-officedocument.spreadsheetml.worksheet+xml">
        <DigestMethod Algorithm="http://www.w3.org/2001/04/xmlenc#sha256"/>
        <DigestValue>ygF30QmTMcnJaTZIg81yM51bJSTuRruSRIuM8xBFQ4w=</DigestValue>
      </Reference>
      <Reference URI="/xl/worksheets/sheet8.xml?ContentType=application/vnd.openxmlformats-officedocument.spreadsheetml.worksheet+xml">
        <DigestMethod Algorithm="http://www.w3.org/2001/04/xmlenc#sha256"/>
        <DigestValue>0ShdXNv9ineY57NCPjKbDXHgr6p2GOOpxmA8miO6TkQ=</DigestValue>
      </Reference>
      <Reference URI="/xl/worksheets/sheet9.xml?ContentType=application/vnd.openxmlformats-officedocument.spreadsheetml.worksheet+xml">
        <DigestMethod Algorithm="http://www.w3.org/2001/04/xmlenc#sha256"/>
        <DigestValue>QSNZ1PjBfXBcw1TCpls5TJNDjkDetvZnm7RqoiZVKpo=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2023-03-31T18:56:55Z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{4BA2F369-C873-4C72-9750-147D92FA906A}</SetupID>
          <SignatureText>FABIO PESSOLANI</SignatureText>
          <SignatureImage/>
          <SignatureComments/>
          <WindowsVersion>10.0</WindowsVersion>
          <OfficeVersion>16.0.16130/24</OfficeVersion>
          <ApplicationVersion>16.0.16130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2023-03-31T18:56:55Z</xd:SigningTime>
          <xd:SigningCertificate>
            <xd:Cert>
              <xd:CertDigest>
                <DigestMethod Algorithm="http://www.w3.org/2001/04/xmlenc#sha256"/>
                <DigestValue>dXquZZaeqEjem1fUXU2IyUrKJ1f8zm+kI8jZ41t/A54=</DigestValue>
              </xd:CertDigest>
              <xd:IssuerSerial>
                <X509IssuerName>CN=CA-CODE100 S.A., C=PY, O=CODE100 S.A., SERIALNUMBER=RUC 80080610-7</X509IssuerName>
                <X509SerialNumber>2051668815463453412009277030796729143124869502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+/vPMXXX8pPD+U3dIHr9BGoDy6M7UrZlXfexAGDzVgaTKlzJgZbkYFOYOKrN2fh1UnTPnStJsIjHywqpPqrW0y5rRm3preND4LMJhjmB0YSIp6LT8Nd5FvOtn/G2eBMZD1vFGooZ8p135TkWSGhTfNwssEYaLxWxFSnC8ntX+rfzBh0v9bx/iS2oRpvqLqTyOXvtgaTmUcGOMmzwRUnuQqRaHe7EQJMtYSnFKB8QZbxhnMSmhc3wxAcrO+mOruL/FO153UvU6uEJUP4uxjggxxyxcIWwQX40/TMWauVhG68YjIUZJBXJMSbO9AewBmKnWSWkZqD2ZTwg6fPew0cBOSsk2AvlA6w++ID+31F8uSm6OOxG/u9q3a7kHdfsH1N+tQBBdhuUr8+IcwNIgy4kkVQsNyF9jxwPimQHUXWTHnMxug0zb/+UyPX5U24dzq1FrMHneKi+m7fZYjPO3eN1FB/0ZhTqphfEM8QT8XHaPSxY+U8raBZnWqjZhCT5Xx02cmlHYZ/O4w7us9KKaMfLrMxioE8CdJsyTkN1K6z/Bd31FVPSfKJZBZ+4iAj6Wfa4sRci8KhB9tS9Tp4AeSY/yaf6OSh1FZSgaJ8UpCCJjX8BIlToDHyASJxtaR7AItaeD5p4XAgMBAAGjggJDMIICPzASBgNVHRMBAf8ECDAGAQH/AgEAMA4GA1UdDwEB/wQEAwIBBjAdBgNVHQ4EFgQUJ/baOwt/k/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+cWd8hBoX8ItgqJmxk4PwUT1802eP/ftLurBdCbAQv0lL81sDN00qtSo8LuqKv7ShZ5yYmrF6mEYJJYZ6AmCA5ji0nQ204rP7GKn3aA2wRy9DQ0WcAHB5YXVj4ihPMPWRf1y+zdDVEAJl2w2lmaBWPpg2Q/fIssSosmQozlHgb7HuVTLluHfZLdGiwq/pIk89qaoTpZs8s/ni2jMFvTx/3DHnY3Dz6s5kRDw2whrIjoV6xMDLJe3bm+rXKi2pGddUsqNrb6lCTUwN6bC0xIhwjRRxrBO9CMnj/8YT1GmR9kHKgP08tcyDSWk+woSoflKL/mlOkZf5o8TLTtSDeA87MMT0n18CWxzSLpkF97WXmJ8JGqTFDk1efqogYP6oanP9QvVUNGyEJw6DmGHEW3c29XaL1j/F4DTRCGEH2anQtpL6nV0l+mJ/hsDzPpPt92VilM4GdPZvk10JQ/yzj4+uNB9wozKLy427qbe6se/VaHa3iyutnxRP9sPEqHWfP/fm5u/e0PC9/JsjE89zti8rxEUK3hES0cSaLsCXpPKXPViaZI+1FeCtG9q2Deesy9diKtRnVZ1/ozb1rdfsug6BLWG4AsBnG3zduXA=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FUBAACfAAAAAAAAAAAAAADwFwAAOwsAACBFTUYAAAEA5BsAAKoAAAAGAAAAAAAAAAAAAAAAAAAAgAcAADgEAABYAQAAwgAAAAAAAAAAAAAAAAAAAMA/BQDQ9QIACgAAABAAAAAAAAAAAAAAAEsAAAAQAAAAAAAAAAUAAAAeAAAAGAAAAAAAAAAAAAAAVgEAAKAAAAAnAAAAGAAAAAEAAAAAAAAAAAAAAAAAAAAlAAAADAAAAAEAAABMAAAAZAAAAAAAAAAAAAAAVQEAAJ8AAAAAAAAAAAAAAFY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BVAQAAnwAAAAAAAAAAAAAAVgEAAKAAAAAhAPAAAAAAAAAAAAAAAIA/AAAAAAAAAAAAAIA/AAAAAAAAAAAAAAAAAAAAAAAAAAAAAAAAAAAAAAAAAAAlAAAADAAAAAAAAIAoAAAADAAAAAEAAAAnAAAAGAAAAAEAAAAAAAAA8PDwAAAAAAAlAAAADAAAAAEAAABMAAAAZAAAAAAAAAAAAAAAVQEAAJ8AAAAAAAAAAAAAAFYBAACgAAAAIQDwAAAAAAAAAAAAAACAPwAAAAAAAAAAAACAPwAAAAAAAAAAAAAAAAAAAAAAAAAAAAAAAAAAAAAAAAAAJQAAAAwAAAAAAACAKAAAAAwAAAABAAAAJwAAABgAAAABAAAAAAAAAPDw8AAAAAAAJQAAAAwAAAABAAAATAAAAGQAAAAAAAAAAAAAAFUBAACfAAAAAAAAAAAAAABWAQAAoAAAACEA8AAAAAAAAAAAAAAAgD8AAAAAAAAAAAAAgD8AAAAAAAAAAAAAAAAAAAAAAAAAAAAAAAAAAAAAAAAAACUAAAAMAAAAAAAAgCgAAAAMAAAAAQAAACcAAAAYAAAAAQAAAAAAAADw8PAAAAAAACUAAAAMAAAAAQAAAEwAAABkAAAAAAAAAAAAAABVAQAAnwAAAAAAAAAAAAAAVgEAAKAAAAAhAPAAAAAAAAAAAAAAAIA/AAAAAAAAAAAAAIA/AAAAAAAAAAAAAAAAAAAAAAAAAAAAAAAAAAAAAAAAAAAlAAAADAAAAAAAAIAoAAAADAAAAAEAAAAnAAAAGAAAAAEAAAAAAAAA////AAAAAAAlAAAADAAAAAEAAABMAAAAZAAAAAAAAAAAAAAAVQEAAJ8AAAAAAAAAAAAAAFYBAACgAAAAIQDwAAAAAAAAAAAAAACAPwAAAAAAAAAAAACAPwAAAAAAAAAAAAAAAAAAAAAAAAAAAAAAAAAAAAAAAAAAJQAAAAwAAAAAAACAKAAAAAwAAAABAAAAJwAAABgAAAABAAAAAAAAAP///wAAAAAAJQAAAAwAAAABAAAATAAAAGQAAAAAAAAAAAAAAFUBAACfAAAAAAAAAAAAAABW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UAAAAFAAAAMQEAABUAAAD1AAAABQAAAD0AAAARAAAAIQDwAAAAAAAAAAAAAACAPwAAAAAAAAAAAACAPwAAAAAAAAAAAAAAAAAAAAAAAAAAAAAAAAAAAAAAAAAAJQAAAAwAAAAAAACAKAAAAAwAAAABAAAAUgAAAHABAAABAAAA8/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//////////9gAAAAMwAxAC8AMwAvADIAMAAyADMAOFMHAAAABwAAAAUAAAAHAAAABQAAAAcAAAAHAAAABwAAAAcAAABLAAAAQAAAADAAAAAFAAAAIAAAAAEAAAABAAAAEAAAAAAAAAAAAAAAVgEAAKAAAAAAAAAAAAAAAFY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P4v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NAAAABWAAAAMAAAADsAAAChAAAAHAAAACEA8AAAAAAAAAAAAAAAgD8AAAAAAAAAAAAAgD8AAAAAAAAAAAAAAAAAAAAAAAAAAAAAAAAAAAAAAAAAACUAAAAMAAAAAAAAgCgAAAAMAAAABAAAAFIAAABwAQAABAAAAOz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EAAABXAAAAJQAAAAwAAAAEAAAAVAAAAKgAAAAxAAAAOwAAAM8AAABWAAAAAQAAAFVVj0EmtI9BMQAAADsAAAAPAAAATAAAAAAAAAAAAAAAAAAAAP//////////bAAAAEYAQQBCAEkATwAgAFAARQBTAFMATwBMAEEATgBJANsgCgAAAA0AAAALAAAABQAAAA8AAAAFAAAACwAAAAoAAAALAAAACwAAAA8AAAAJAAAADQAAAA8AAAAFAAAASwAAAEAAAAAwAAAABQAAACAAAAABAAAAAQAAABAAAAAAAAAAAAAAAFYBAACgAAAAAAAAAAAAAABWAQAAoAAAACUAAAAMAAAAAgAAACcAAAAYAAAABQAAAAAAAAD///8AAAAAACUAAAAMAAAABQAAAEwAAABkAAAAAAAAAGEAAABVAQAAmwAAAAAAAABhAAAAVgEAADsAAAAhAPAAAAAAAAAAAAAAAIA/AAAAAAAAAAAAAIA/AAAAAAAAAAAAAAAAAAAAAAAAAAAAAAAAAAAAAAAAAAAlAAAADAAAAAAAAIAoAAAADAAAAAUAAAAnAAAAGAAAAAUAAAAAAAAA////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KgAAAAPAAAAYQAAAGgAAABxAAAAAQAAAFVVj0EmtI9BDwAAAGEAAAAPAAAATAAAAAAAAAAAAAAAAAAAAP//////////bAAAAEYAYQBiAGkAbwAgAFAAZQBzAHMAbwBsAGEAbgBpAE0NBgAAAAcAAAAIAAAAAwAAAAgAAAAEAAAABwAAAAcAAAAGAAAABgAAAAgAAAADAAAABwAAAAcAAAADAAAASwAAAEAAAAAwAAAABQAAACAAAAABAAAAAQAAABAAAAAAAAAAAAAAAFYBAACgAAAAAAAAAAAAAABWAQAAoAAAACUAAAAMAAAAAgAAACcAAAAYAAAABQAAAAAAAAD///8AAAAAACUAAAAMAAAABQAAAEwAAABkAAAADgAAAHYAAAA/AQAAhgAAAA4AAAB2AAAAMgEAABEAAAAhAPAAAAAAAAAAAAAAAIA/AAAAAAAAAAAAAIA/AAAAAAAAAAAAAAAAAAAAAAAAAAAAAAAAAAAAAAAAAAAlAAAADAAAAAAAAIAoAAAADAAAAAUAAAAlAAAADAAAAAEAAAAYAAAADAAAAAAAAAASAAAADAAAAAEAAAAeAAAAGAAAAA4AAAB2AAAAQAEAAIcAAAAlAAAADAAAAAEAAABUAAAAqAAAAA8AAAB2AAAAaQAAAIYAAAABAAAAVVWPQSa0j0EPAAAAdgAAAA8AAABMAAAAAAAAAAAAAAAAAAAA//////////9sAAAAQQB1AGQAaQB0AG8AcgAgAGUAeAB0AGUAcgBuAG8A/uYIAAAABwAAAAgAAAADAAAABAAAAAgAAAAFAAAABAAAAAcAAAAGAAAABAAAAAcAAAAFAAAABwAAAAgAAABLAAAAQAAAADAAAAAFAAAAIAAAAAEAAAABAAAAEAAAAAAAAAAAAAAAVgEAAKAAAAAAAAAAAAAAAFYBAACgAAAAJQAAAAwAAAACAAAAJwAAABgAAAAFAAAAAAAAAP///wAAAAAAJQAAAAwAAAAFAAAATAAAAGQAAAAOAAAAiwAAAEcBAACbAAAADgAAAIsAAAA6AQAAEQAAACEA8AAAAAAAAAAAAAAAgD8AAAAAAAAAAAAAgD8AAAAAAAAAAAAAAAAAAAAAAAAAAAAAAAAAAAAAAAAAACUAAAAMAAAAAAAAgCgAAAAMAAAABQAAACUAAAAMAAAAAQAAABgAAAAMAAAAAAAAABIAAAAMAAAAAQAAABYAAAAMAAAAAAAAAFQAAABcAQAADwAAAIsAAABGAQAAmwAAAAEAAABVVY9BJrSPQQ8AAACLAAAALQAAAEwAAAAEAAAADgAAAIsAAABIAQAAnAAAAKgAAABGAGkAcgBtAGEAZABvACAAcABvAHIAOgAgAEYAQQBCAEkATwAgAE0AQQBSAEMARQBMAE8AIABQAEUAUwBTAE8ATABBAE4ASQAgAFIASQBRAFUARQBMAE0ARQCdTQYAAAADAAAABQAAAAsAAAAHAAAACAAAAAgAAAAEAAAACAAAAAgAAAAFAAAAAwAAAAQAAAAGAAAACAAAAAcAAAADAAAACgAAAAQAAAAMAAAACAAAAAgAAAAIAAAABwAAAAYAAAAKAAAABAAAAAcAAAAHAAAABwAAAAcAAAAKAAAABgAAAAgAAAAKAAAAAwAAAAQAAAAIAAAAAwAAAAoAAAAJAAAABwAAAAYAAAAMAAAABwAAABYAAAAMAAAAAAAAACUAAAAMAAAAAgAAAA4AAAAUAAAAAAAAABAAAAAUAAAA</Object>
  <Object Id="idInvalidSigLnImg">AQAAAGwAAAAAAAAAAAAAAFUBAACfAAAAAAAAAAAAAADwFwAAOwsAACBFTUYAAAEAZCIAALEAAAAGAAAAAAAAAAAAAAAAAAAAgAcAADgEAABYAQAAwgAAAAAAAAAAAAAAAAAAAMA/BQDQ9QIACgAAABAAAAAAAAAAAAAAAEsAAAAQAAAAAAAAAAUAAAAeAAAAGAAAAAAAAAAAAAAAVgEAAKAAAAAnAAAAGAAAAAEAAAAAAAAAAAAAAAAAAAAlAAAADAAAAAEAAABMAAAAZAAAAAAAAAAAAAAAVQEAAJ8AAAAAAAAAAAAAAFY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BVAQAAnwAAAAAAAAAAAAAAVgEAAKAAAAAhAPAAAAAAAAAAAAAAAIA/AAAAAAAAAAAAAIA/AAAAAAAAAAAAAAAAAAAAAAAAAAAAAAAAAAAAAAAAAAAlAAAADAAAAAAAAIAoAAAADAAAAAEAAAAnAAAAGAAAAAEAAAAAAAAA8PDwAAAAAAAlAAAADAAAAAEAAABMAAAAZAAAAAAAAAAAAAAAVQEAAJ8AAAAAAAAAAAAAAFYBAACgAAAAIQDwAAAAAAAAAAAAAACAPwAAAAAAAAAAAACAPwAAAAAAAAAAAAAAAAAAAAAAAAAAAAAAAAAAAAAAAAAAJQAAAAwAAAAAAACAKAAAAAwAAAABAAAAJwAAABgAAAABAAAAAAAAAPDw8AAAAAAAJQAAAAwAAAABAAAATAAAAGQAAAAAAAAAAAAAAFUBAACfAAAAAAAAAAAAAABWAQAAoAAAACEA8AAAAAAAAAAAAAAAgD8AAAAAAAAAAAAAgD8AAAAAAAAAAAAAAAAAAAAAAAAAAAAAAAAAAAAAAAAAACUAAAAMAAAAAAAAgCgAAAAMAAAAAQAAACcAAAAYAAAAAQAAAAAAAADw8PAAAAAAACUAAAAMAAAAAQAAAEwAAABkAAAAAAAAAAAAAABVAQAAnwAAAAAAAAAAAAAAVgEAAKAAAAAhAPAAAAAAAAAAAAAAAIA/AAAAAAAAAAAAAIA/AAAAAAAAAAAAAAAAAAAAAAAAAAAAAAAAAAAAAAAAAAAlAAAADAAAAAAAAIAoAAAADAAAAAEAAAAnAAAAGAAAAAEAAAAAAAAA////AAAAAAAlAAAADAAAAAEAAABMAAAAZAAAAAAAAAAAAAAAVQEAAJ8AAAAAAAAAAAAAAFYBAACgAAAAIQDwAAAAAAAAAAAAAACAPwAAAAAAAAAAAACAPwAAAAAAAAAAAAAAAAAAAAAAAAAAAAAAAAAAAAAAAAAAJQAAAAwAAAAAAACAKAAAAAwAAAABAAAAJwAAABgAAAABAAAAAAAAAP///wAAAAAAJQAAAAwAAAABAAAATAAAAGQAAAAAAAAAAAAAAFUBAACfAAAAAAAAAAAAAABW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/wAAABIAAAAMAAAAAQAAAB4AAAAYAAAAMAAAAAUAAACLAAAAFgAAACUAAAAMAAAAAQAAAFQAAACoAAAAMQAAAAUAAACJAAAAFQAAAAEAAABVVY9BJrSPQTEAAAAFAAAADwAAAEwAAAAAAAAAAAAAAAAAAAD//////////2wAAABGAGkAcgBtAGEAIABuAG8AIAB2AOEAbABpAGQAYQBjAAYAAAADAAAABQAAAAsAAAAHAAAABAAAAAcAAAAIAAAABAAAAAYAAAAHAAAAAwAAAAMAAAAIAAAABwAAAEsAAABAAAAAMAAAAAUAAAAgAAAAAQAAAAEAAAAQAAAAAAAAAAAAAABWAQAAoAAAAAAAAAAAAAAAVg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LwA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0AAAAFYAAAAwAAAAOwAAAKEAAAAcAAAAIQDwAAAAAAAAAAAAAACAPwAAAAAAAAAAAACAPwAAAAAAAAAAAAAAAAAAAAAAAAAAAAAAAAAAAAAAAAAAJQAAAAwAAAAAAACAKAAAAAwAAAAEAAAAUgAAAHABAAAEAAAA7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0QAAAFcAAAAlAAAADAAAAAQAAABUAAAAqAAAADEAAAA7AAAAzwAAAFYAAAABAAAAVVWPQSa0j0ExAAAAOwAAAA8AAABMAAAAAAAAAAAAAAAAAAAA//////////9sAAAARgBBAEIASQBPACAAUABFAFMAUwBPAEwAQQBOAEkAcwAKAAAADQAAAAsAAAAFAAAADwAAAAUAAAALAAAACgAAAAsAAAALAAAADwAAAAkAAAANAAAADwAAAAUAAABLAAAAQAAAADAAAAAFAAAAIAAAAAEAAAABAAAAEAAAAAAAAAAAAAAAVgEAAKAAAAAAAAAAAAAAAFYBAACgAAAAJQAAAAwAAAACAAAAJwAAABgAAAAFAAAAAAAAAP///wAAAAAAJQAAAAwAAAAFAAAATAAAAGQAAAAAAAAAYQAAAFUBAACbAAAAAAAAAGEAAABWAQAAOwAAACEA8AAAAAAAAAAAAAAAgD8AAAAAAAAAAAAAgD8AAAAAAAAAAAAAAAAAAAAAAAAAAAAAAAAAAAAAAAAAACUAAAAMAAAAAAAAgCgAAAAMAAAABQAAACcAAAAYAAAABQAAAAAAAAD///8AAAAAACUAAAAMAAAABQAAAEwAAABkAAAADgAAAGEAAAA/AQAAcQAAAA4AAABhAAAAMgEAABEAAAAhAPAAAAAAAAAAAAAAAIA/AAAAAAAAAAAAAIA/AAAAAAAAAAAAAAAAAAAAAAAAAAAAAAAAAAAAAAAAAAAlAAAADAAAAAAAAIAoAAAADAAAAAUAAAAlAAAADAAAAAEAAAAYAAAADAAAAAAAAAASAAAADAAAAAEAAAAeAAAAGAAAAA4AAABhAAAAQAEAAHIAAAAlAAAADAAAAAEAAABUAAAAqAAAAA8AAABhAAAAaAAAAHEAAAABAAAAVVWPQSa0j0EPAAAAYQAAAA8AAABMAAAAAAAAAAAAAAAAAAAA//////////9sAAAARgBhAGIAaQBvACAAUABlAHMAcwBvAGwAYQBuAGkAZQAGAAAABwAAAAgAAAADAAAACAAAAAQAAAAHAAAABwAAAAYAAAAGAAAACAAAAAMAAAAHAAAABwAAAAMAAABLAAAAQAAAADAAAAAFAAAAIAAAAAEAAAABAAAAEAAAAAAAAAAAAAAAVgEAAKAAAAAAAAAAAAAAAFYBAACgAAAAJQAAAAwAAAACAAAAJwAAABgAAAAFAAAAAAAAAP///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oAAAADwAAAHYAAABpAAAAhgAAAAEAAABVVY9BJrSPQQ8AAAB2AAAADwAAAEwAAAAAAAAAAAAAAAAAAAD//////////2wAAABBAHUAZABpAHQAbwByACAAZQB4AHQAZQByAG4AbwBhAAgAAAAHAAAACAAAAAMAAAAEAAAACAAAAAUAAAAEAAAABwAAAAYAAAAEAAAABwAAAAUAAAAHAAAACAAAAEsAAABAAAAAMAAAAAUAAAAgAAAAAQAAAAEAAAAQAAAAAAAAAAAAAABWAQAAoAAAAAAAAAAAAAAAVgEAAKAAAAAlAAAADAAAAAIAAAAnAAAAGAAAAAUAAAAAAAAA////AAAAAAAlAAAADAAAAAUAAABMAAAAZAAAAA4AAACLAAAARwEAAJsAAAAOAAAAiwAAADoBAAARAAAAIQDwAAAAAAAAAAAAAACAPwAAAAAAAAAAAACAPwAAAAAAAAAAAAAAAAAAAAAAAAAAAAAAAAAAAAAAAAAAJQAAAAwAAAAAAACAKAAAAAwAAAAFAAAAJQAAAAwAAAABAAAAGAAAAAwAAAAAAAAAEgAAAAwAAAABAAAAFgAAAAwAAAAAAAAAVAAAAFwBAAAPAAAAiwAAAEYBAACbAAAAAQAAAFVVj0EmtI9BDwAAAIsAAAAtAAAATAAAAAQAAAAOAAAAiwAAAEgBAACcAAAAqAAAAEYAaQByAG0AYQBkAG8AIABwAG8AcgA6ACAARgBBAEIASQBPACAATQBBAFIAQwBFAEwATwAgAFAARQBTAFMATwBMAEEATgBJACAAUgBJAFEAVQBFAEwATQBFAHUABgAAAAMAAAAFAAAACwAAAAcAAAAIAAAACAAAAAQAAAAIAAAACAAAAAUAAAADAAAABAAAAAYAAAAIAAAABwAAAAMAAAAKAAAABAAAAAwAAAAIAAAACAAAAAgAAAAHAAAABgAAAAoAAAAEAAAABwAAAAcAAAAHAAAABwAAAAoAAAAGAAAACAAAAAoAAAADAAAABAAAAAgAAAADAAAACgAAAAkAAAAHAAAABgAAAAwAAAAHAAAAFgAAAAwAAAAAAAAAJQAAAAwAAAACAAAADgAAABQAAAAAAAAAEAAAABQAAAA=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tGRc3GwnhT23lfQn9Of7fhq5gsilOHehPaEsVZFyAPc=</DigestValue>
    </Reference>
    <Reference Type="http://www.w3.org/2000/09/xmldsig#Object" URI="#idOfficeObject">
      <DigestMethod Algorithm="http://www.w3.org/2001/04/xmlenc#sha256"/>
      <DigestValue>nCffZQGUkCH/TKj7eiLa7Wm2AVuBkIh/aVkjX8NDTQ8=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coREbfx2hfcZogp02GIyYebbjMUt5vlWEHm7h8WhAJY=</DigestValue>
    </Reference>
    <Reference Type="http://www.w3.org/2000/09/xmldsig#Object" URI="#idValidSigLnImg">
      <DigestMethod Algorithm="http://www.w3.org/2001/04/xmlenc#sha256"/>
      <DigestValue>LouPfTd8O3iiH0PE2hv78Z+q3vjcVpu58fxNSWOwOaM=</DigestValue>
    </Reference>
    <Reference Type="http://www.w3.org/2000/09/xmldsig#Object" URI="#idInvalidSigLnImg">
      <DigestMethod Algorithm="http://www.w3.org/2001/04/xmlenc#sha256"/>
      <DigestValue>ZDgc0XFQpZuedPkf51dhAoeu1r6gdDw+ML72UdiiDw0=</DigestValue>
    </Reference>
  </SignedInfo>
  <SignatureValue>K2M7y2FAoVHWvY7sEfsy6HzbxpfgFiu9BodAufMe7clr4r8mA7WNa5XwR8KAYcNS8bRiP10i1+on
oFIuxgWLUXPPdIp3f3X3K3JRKzm1QcQLzb1hb95ZiyQcOuOwrYzqfZ7jJNrHu8WN5dDePuvMtfh3
EHeS8RMYDpMH6RhetxUJNB2VW1i/tCihvpJMaux/rfycLwX4TzlAIKEI5aPHSxG1+onnphoShWna
ClWrsWz54+qwGGSkR8ogNIG5Y8hSma4nubV//hFvoET1bTcmjU3hepXl9hUBknWf3UvgUu569XXJ
/d6qP7rsyEBDS+ttF6d1gHg68cNPVm6MQkH4uw==</SignatureValue>
  <KeyInfo>
    <X509Data>
      <X509Certificate>MIIH/TCCBeWgAwIBAgITXAAAX1aj4D9Mo0nCSwAAAABfVjANBgkqhkiG9w0BAQsFADBXMRcwFQYDVQQFEw5SVUMgODAwODA2MTAtNzEVMBMGA1UEChMMQ09ERTEwMCBTLkEuMQswCQYDVQQGEwJQWTEYMBYGA1UEAxMPQ0EtQ09ERTEwMCBTLkEuMB4XDTIxMDUwMzE2NDkyMVoXDTIzMDUwMzE2NDkyMVowgZExGzAZBgNVBAMTEllTQUlBUyBMT1BFWiBHT01FWjEXMBUGA1UEChMOUEVSU09OQSBGSVNJQ0ExCzAJBgNVBAYTAlBZMQ8wDQYDVQQqEwZZU0FJQVMxFDASBgNVBAQTC0xPUEVaIEdPTUVaMRIwEAYDVQQFEwlDSTM4OTg1NTUxETAPBgNVBAsTCEZJUk1BIEYyMIIBIjANBgkqhkiG9w0BAQEFAAOCAQ8AMIIBCgKCAQEA+fstN0gIbhs3sC7iqDpxeLL8FZaMY1yqMjNBjFkdvwTs8TS2TjAU0OsuVpU99gHeO1idwfHZKqpqM45bYCCYm1VgCwsfUnBFxVqJH7a9kE7JSfG62ufPBTeKxTrcGfu+9xJfuZYyhj5meJlhuGR4GZH+5w0FLIoEnRMk8Yi+WbFZ6kegQJRvDsZwvsQ18IalgZvg06sVAozPGpVQgjS828i85cFdJHl/Qf3Rifh6D5Xf77GKFRqG1EG86Lbcupa24EEJW0DbU1GoDXsdsZik74JyF2E8ykcsFtdRP8d+24TZ3IpHX4ES2fnXWLEn3BYLPuUuhC2ipiIH7awy+kX4sQIDAQABo4IDhTCCA4EwDgYDVR0PAQH/BAQDAgXgMAwGA1UdEwEB/wQCMAAwIAYDVR0lAQH/BBYwFAYIKwYBBQUHAwIGCCsGAQUFBwMEMB0GA1UdDgQWBBSbNklYiELM3fZyVbM0zAQrm4ATFTAfBgNVHSMEGDAWgBQn9to7C3+T+FkS0BWqQs+ylpY9RTCBiAYDVR0fBIGAMH4wfKB6oHiGOmh0dHA6Ly9jYTEuY29kZTEwMC5jb20ucHkvZmlybWEtZGlnaXRhbC9jcmwvQ0EtQ09ERTEwMC5jcmyGOmh0dHA6Ly9jYTIuY29kZTEwMC5jb20ucHkvZmlybWEtZGlnaXRhbC9jcmwvQ0EtQ09ERTEwMC5jcmwwgfgGCCsGAQUFBwEBBIHrMIHoMEYGCCsGAQUFBzAChjpodHRwOi8vY2ExLmNvZGUxMDAuY29tLnB5L2Zpcm1hLWRpZ2l0YWwvY2VyL0NBLUNPREUxMDAuY2VyMEYGCCsGAQUFBzAChjpodHRwOi8vY2EyLmNvZGUxMDAuY29tLnB5L2Zpcm1hLWRpZ2l0YWwvY2VyL0NBLUNPREUxMDAuY2VyMCoGCCsGAQUFBzABhh5odHRwOi8vY2ExLmNvZGUxMDAuY29tLnB5L29jc3AwKgYIKwYBBQUHMAGGHmh0dHA6Ly9jYTIuY29kZTEwMC5jb20ucHkvb2NzcDCCAU8GA1UdIASCAUYwggFCMIIBPgYMKwYBBAGC2UoBAQEGMIIBLDBsBggrBgEFBQcCARZgaHR0cDovL3d3dy5jb2RlMTAwLmNvbS5weS9maXJtYS1kaWdpdGFsL0NPREUxMDAlMjBQb2xpdGljYSUyMGRlJTIwQ2VydGlmaWNhY2lvbiUyMEYyJTIwdjIuMC5wZGYAMGYGCCsGAQUFBwICMFoeWABQAG8AbABpAHQAaQBjAGEAIABkAGUAIABjAGUAcgB0AGkAZgBpAGMAYQBjAGkAbwBuACAARgAyACAAZABlACAAQwBvAGQAZQAxADAAMAAgAFMALgBBAC4wVAYIKwYBBQUHAgIwSB5GAEMAbwBkAGUAIAAxADAAMAAgAFMALgBBAC4AIABDAGUAcgB0AGkAZgBpAGMAYQB0AGUAIABQAG8AbABpAGMAeQAgAEYAMjAmBgNVHREEHzAdgRtZU0FJQVMuTE9QRVpAR0VTVElPTi5DT00uUFkwDQYJKoZIhvcNAQELBQADggIBADIiWpBzP3W4RGdtelzMKSEMhAEtlbbLSwE/D/v3iU73W7xTVaGwRPWXXhQ80yfZ+I0TfWPR2tdQLMLnXXtyrEPZq7PAETXtLkSklKcuKEh3qVY6TzsqvuFEbyH9UsdhBnilEyVB8pi6aaLogMK2zqWDylCj1i4qd1UkPL8cdpq3KsOkCyDCiYRYLLG80r1y9AP7YJvCLkl4rymo9YfVVEoX4LwYi67J7a2P2Ah95kW9apmHxvZclZQL24sLWwW1i6nIfq2NnOTugG23lkRMKh+a+kTxaHdK3Bky+OkH5XBNzGZ/JjfLcJNJfUl4osUznBnsl1UtMYem/aOMwHK5TBJ7HFbAZs3yBme/zPU9BkGBq7oF+co5Ho0iSYdNEbJ703CkETuogJecNAWQEy0PzfiM+MUio9HpVXAKluONMDiy2Bvv6dKuSJu5QWgWhwo848/htPZPV1uKtUH51DfkJKXhxXb/neUm9mkM41RFAwiBshd9AaMFRZHmCZDtnoQSAdd353cCDfc+3+byznaP6MTI67hLQj8KKBBYJ3+KZhkaQ+8FjndtxKMdUPRleSvjzxUemH9FFKC22jGXiLNRlZaefVbNIs8gQVdcAjKvScGtDvFzMnYWJfGsq6l/cAFoVnVsjZBLoLRtsD+n0tVo38UclsknaJTWjqn1l+HsqlmP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Txt1swa/bPIPmFGsZWwoEndhraiRbq1VVTVPE31ObWk=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7A6vZ7zkPzS9u46vAbI0CTdJK407ShiI7XQz2/JE+gs=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Vu6OaGeUui/lbAfBf7z5YBdE28xa8ipMBmjj6pns4Co=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SJQFL8Odb+VHG4VdEQ3vtZUXlGF/erQhP6ED+Pbv7V4=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wqNb7OaqGduDaHtPt2f3CSriukRW8upiNzdZuxDQdnM=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1SMfItI0vYaOoxDr33zyeI18EyQM+MTbv/d4PxzVhR0=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nssU7vY2dcgKUywGNl98M7XIzTEEKx7epX16+hDrUm0=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Sq09IcEMc0OyzgElN/R1RheQxt7xNWTgUQttKfEduUs=</DigestValue>
      </Reference>
      <Reference URI="/xl/media/image4.emf?ContentType=image/x-emf">
        <DigestMethod Algorithm="http://www.w3.org/2001/04/xmlenc#sha256"/>
        <DigestValue>wmvosK7xqarfhHlwSFGOmbuO/WXD+DNMn6W3Rzlq2vQ=</DigestValue>
      </Reference>
      <Reference URI="/xl/media/image5.emf?ContentType=image/x-emf">
        <DigestMethod Algorithm="http://www.w3.org/2001/04/xmlenc#sha256"/>
        <DigestValue>SajtG0SrrgZO+/SQQjUSz4mu/+kEKHoUrqYBPgf5Pyc=</DigestValue>
      </Reference>
      <Reference URI="/xl/media/image6.emf?ContentType=image/x-emf">
        <DigestMethod Algorithm="http://www.w3.org/2001/04/xmlenc#sha256"/>
        <DigestValue>heVTmAkJu6KE6RXpg5JxJt+jc4lqqmOk7wLsVG+IsnY=</DigestValue>
      </Reference>
      <Reference URI="/xl/media/image7.emf?ContentType=image/x-emf">
        <DigestMethod Algorithm="http://www.w3.org/2001/04/xmlenc#sha256"/>
        <DigestValue>1sJlwwPNAt/2mQzkWmCygQusDTo5RoAZBtmEcvsd2JQ=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adxJ+eSKsW+DPP/SKAaVGn4zwFM7hfPbcP2IwB7CIyE=</DigestValue>
      </Reference>
      <Reference URI="/xl/styles.xml?ContentType=application/vnd.openxmlformats-officedocument.spreadsheetml.styles+xml">
        <DigestMethod Algorithm="http://www.w3.org/2001/04/xmlenc#sha256"/>
        <DigestValue>aIvTIpW8AgNqkQSB0s7bTzkGEvmQPJyFclxeUbSQXxE=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Xhxj+hmEuNaR5TGDgl61vYddmFEr/TjYYkvvDl52+DI=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1hwWLEcX7cD0rekfAruNsbip83VGHwMp3VxnZ1/0Y+I=</DigestValue>
      </Reference>
      <Reference URI="/xl/worksheets/sheet10.xml?ContentType=application/vnd.openxmlformats-officedocument.spreadsheetml.worksheet+xml">
        <DigestMethod Algorithm="http://www.w3.org/2001/04/xmlenc#sha256"/>
        <DigestValue>v/gRmh4SCcAu3htqv7sgQ6haygYiTtWtZ2+mr/crc4s=</DigestValue>
      </Reference>
      <Reference URI="/xl/worksheets/sheet11.xml?ContentType=application/vnd.openxmlformats-officedocument.spreadsheetml.worksheet+xml">
        <DigestMethod Algorithm="http://www.w3.org/2001/04/xmlenc#sha256"/>
        <DigestValue>9VQodMfmu8Vcrdekv2CPImNTEbzTCJW9jtcOO0RR6Dc=</DigestValue>
      </Reference>
      <Reference URI="/xl/worksheets/sheet12.xml?ContentType=application/vnd.openxmlformats-officedocument.spreadsheetml.worksheet+xml">
        <DigestMethod Algorithm="http://www.w3.org/2001/04/xmlenc#sha256"/>
        <DigestValue>xLI9lf9BkDNiFdzYWLvPqF8yWgWUNkPJEoSzkkhKg2Q=</DigestValue>
      </Reference>
      <Reference URI="/xl/worksheets/sheet13.xml?ContentType=application/vnd.openxmlformats-officedocument.spreadsheetml.worksheet+xml">
        <DigestMethod Algorithm="http://www.w3.org/2001/04/xmlenc#sha256"/>
        <DigestValue>6hbqnHkTRCApBH1OciO9EC5+iQ5v982YBVC+cRWqRg0=</DigestValue>
      </Reference>
      <Reference URI="/xl/worksheets/sheet14.xml?ContentType=application/vnd.openxmlformats-officedocument.spreadsheetml.worksheet+xml">
        <DigestMethod Algorithm="http://www.w3.org/2001/04/xmlenc#sha256"/>
        <DigestValue>zjCWDBsS7BNtu76wLeNxkFrpZFjovbZjObdei6OnZj4=</DigestValue>
      </Reference>
      <Reference URI="/xl/worksheets/sheet15.xml?ContentType=application/vnd.openxmlformats-officedocument.spreadsheetml.worksheet+xml">
        <DigestMethod Algorithm="http://www.w3.org/2001/04/xmlenc#sha256"/>
        <DigestValue>QDBmI1RTHobKhxdAQ06Rdo5SsHHuKpRZJOATMX4Ykgo=</DigestValue>
      </Reference>
      <Reference URI="/xl/worksheets/sheet16.xml?ContentType=application/vnd.openxmlformats-officedocument.spreadsheetml.worksheet+xml">
        <DigestMethod Algorithm="http://www.w3.org/2001/04/xmlenc#sha256"/>
        <DigestValue>+hl/X2W4jcYy6Mv5SgtKF6moSWvg17CdBOIOps3i65A=</DigestValue>
      </Reference>
      <Reference URI="/xl/worksheets/sheet17.xml?ContentType=application/vnd.openxmlformats-officedocument.spreadsheetml.worksheet+xml">
        <DigestMethod Algorithm="http://www.w3.org/2001/04/xmlenc#sha256"/>
        <DigestValue>BFSVGHg+rMt3YkfjgHB2LXx5PX+UPOO7g6XjKMTu1q4=</DigestValue>
      </Reference>
      <Reference URI="/xl/worksheets/sheet18.xml?ContentType=application/vnd.openxmlformats-officedocument.spreadsheetml.worksheet+xml">
        <DigestMethod Algorithm="http://www.w3.org/2001/04/xmlenc#sha256"/>
        <DigestValue>/BMAwicYNpxTY+aTUIU9o2Wdi95Sx1agDXfnir0+Jhg=</DigestValue>
      </Reference>
      <Reference URI="/xl/worksheets/sheet19.xml?ContentType=application/vnd.openxmlformats-officedocument.spreadsheetml.worksheet+xml">
        <DigestMethod Algorithm="http://www.w3.org/2001/04/xmlenc#sha256"/>
        <DigestValue>Q0+1dEbtfLreLZRH9tXLoWeRSrCWP6Da/xjfQUl8m64=</DigestValue>
      </Reference>
      <Reference URI="/xl/worksheets/sheet2.xml?ContentType=application/vnd.openxmlformats-officedocument.spreadsheetml.worksheet+xml">
        <DigestMethod Algorithm="http://www.w3.org/2001/04/xmlenc#sha256"/>
        <DigestValue>UIYZcsLNyVa4Zwau7I/a/9FlDqrIDZGG/Qt6KUY13EE=</DigestValue>
      </Reference>
      <Reference URI="/xl/worksheets/sheet20.xml?ContentType=application/vnd.openxmlformats-officedocument.spreadsheetml.worksheet+xml">
        <DigestMethod Algorithm="http://www.w3.org/2001/04/xmlenc#sha256"/>
        <DigestValue>QKHoE/8nVrAZ+4UkvJBa1d5kRm7hnevMc3ZsYFzjelU=</DigestValue>
      </Reference>
      <Reference URI="/xl/worksheets/sheet21.xml?ContentType=application/vnd.openxmlformats-officedocument.spreadsheetml.worksheet+xml">
        <DigestMethod Algorithm="http://www.w3.org/2001/04/xmlenc#sha256"/>
        <DigestValue>hrRapHiIYV1uIGIC4UrpmuRKIGOme/aCXvORWI34UbY=</DigestValue>
      </Reference>
      <Reference URI="/xl/worksheets/sheet22.xml?ContentType=application/vnd.openxmlformats-officedocument.spreadsheetml.worksheet+xml">
        <DigestMethod Algorithm="http://www.w3.org/2001/04/xmlenc#sha256"/>
        <DigestValue>S4qVXHTeJzITQ1JsBlKYurfobEsMcce0lM1ogNDvXHA=</DigestValue>
      </Reference>
      <Reference URI="/xl/worksheets/sheet23.xml?ContentType=application/vnd.openxmlformats-officedocument.spreadsheetml.worksheet+xml">
        <DigestMethod Algorithm="http://www.w3.org/2001/04/xmlenc#sha256"/>
        <DigestValue>OdJpmRtCY0g6/ug8JEfIayR/5Ns0oGJ3viNcFcoUD/c=</DigestValue>
      </Reference>
      <Reference URI="/xl/worksheets/sheet24.xml?ContentType=application/vnd.openxmlformats-officedocument.spreadsheetml.worksheet+xml">
        <DigestMethod Algorithm="http://www.w3.org/2001/04/xmlenc#sha256"/>
        <DigestValue>TYibDELu7n9uikLQC/GIO8uv3+jWTBD3yS3EjSjwCwA=</DigestValue>
      </Reference>
      <Reference URI="/xl/worksheets/sheet25.xml?ContentType=application/vnd.openxmlformats-officedocument.spreadsheetml.worksheet+xml">
        <DigestMethod Algorithm="http://www.w3.org/2001/04/xmlenc#sha256"/>
        <DigestValue>XKBsHhXIgdIDmbRO8AdjcLgL2sWSOvTqmn/PPAJ4LBo=</DigestValue>
      </Reference>
      <Reference URI="/xl/worksheets/sheet26.xml?ContentType=application/vnd.openxmlformats-officedocument.spreadsheetml.worksheet+xml">
        <DigestMethod Algorithm="http://www.w3.org/2001/04/xmlenc#sha256"/>
        <DigestValue>74D08+DZbMT4/Wn678Zm6qCkpwxbJuSWJKCGy+GEw04=</DigestValue>
      </Reference>
      <Reference URI="/xl/worksheets/sheet27.xml?ContentType=application/vnd.openxmlformats-officedocument.spreadsheetml.worksheet+xml">
        <DigestMethod Algorithm="http://www.w3.org/2001/04/xmlenc#sha256"/>
        <DigestValue>Cfi0OWEFMymWbvMu4avCwrIV8IiCXzC40hXop+enj/Q=</DigestValue>
      </Reference>
      <Reference URI="/xl/worksheets/sheet28.xml?ContentType=application/vnd.openxmlformats-officedocument.spreadsheetml.worksheet+xml">
        <DigestMethod Algorithm="http://www.w3.org/2001/04/xmlenc#sha256"/>
        <DigestValue>UeJ4olSuoCNC8jeOzuCdhVnduOKEWyzzcB6ySqUtrSs=</DigestValue>
      </Reference>
      <Reference URI="/xl/worksheets/sheet29.xml?ContentType=application/vnd.openxmlformats-officedocument.spreadsheetml.worksheet+xml">
        <DigestMethod Algorithm="http://www.w3.org/2001/04/xmlenc#sha256"/>
        <DigestValue>nkf7adUXD5WM47nbV6L3Lfa7TdYO9hIM8hDL5FVqrxU=</DigestValue>
      </Reference>
      <Reference URI="/xl/worksheets/sheet3.xml?ContentType=application/vnd.openxmlformats-officedocument.spreadsheetml.worksheet+xml">
        <DigestMethod Algorithm="http://www.w3.org/2001/04/xmlenc#sha256"/>
        <DigestValue>wK0GnEeR1Zt1FXFUVHCueEz4gHjkTtiqU9O8+qCbEsc=</DigestValue>
      </Reference>
      <Reference URI="/xl/worksheets/sheet30.xml?ContentType=application/vnd.openxmlformats-officedocument.spreadsheetml.worksheet+xml">
        <DigestMethod Algorithm="http://www.w3.org/2001/04/xmlenc#sha256"/>
        <DigestValue>nXun5/s07xUAOHP563CUzDVy1wu5a6ZM8IQQRG2ZNwQ=</DigestValue>
      </Reference>
      <Reference URI="/xl/worksheets/sheet4.xml?ContentType=application/vnd.openxmlformats-officedocument.spreadsheetml.worksheet+xml">
        <DigestMethod Algorithm="http://www.w3.org/2001/04/xmlenc#sha256"/>
        <DigestValue>rcoSLjnQQUJhQEWDyIvHPI+h77kZkXakilSAlHeFrNo=</DigestValue>
      </Reference>
      <Reference URI="/xl/worksheets/sheet5.xml?ContentType=application/vnd.openxmlformats-officedocument.spreadsheetml.worksheet+xml">
        <DigestMethod Algorithm="http://www.w3.org/2001/04/xmlenc#sha256"/>
        <DigestValue>J+7R/RvsD5RAs0T76O3FXbfL/U56PvnGhTbhbPa9DYI=</DigestValue>
      </Reference>
      <Reference URI="/xl/worksheets/sheet6.xml?ContentType=application/vnd.openxmlformats-officedocument.spreadsheetml.worksheet+xml">
        <DigestMethod Algorithm="http://www.w3.org/2001/04/xmlenc#sha256"/>
        <DigestValue>RV8E4qJTwm2rMjLII0QqiNXTa0Gi16y1YfOSBkE6MDY=</DigestValue>
      </Reference>
      <Reference URI="/xl/worksheets/sheet7.xml?ContentType=application/vnd.openxmlformats-officedocument.spreadsheetml.worksheet+xml">
        <DigestMethod Algorithm="http://www.w3.org/2001/04/xmlenc#sha256"/>
        <DigestValue>ygF30QmTMcnJaTZIg81yM51bJSTuRruSRIuM8xBFQ4w=</DigestValue>
      </Reference>
      <Reference URI="/xl/worksheets/sheet8.xml?ContentType=application/vnd.openxmlformats-officedocument.spreadsheetml.worksheet+xml">
        <DigestMethod Algorithm="http://www.w3.org/2001/04/xmlenc#sha256"/>
        <DigestValue>0ShdXNv9ineY57NCPjKbDXHgr6p2GOOpxmA8miO6TkQ=</DigestValue>
      </Reference>
      <Reference URI="/xl/worksheets/sheet9.xml?ContentType=application/vnd.openxmlformats-officedocument.spreadsheetml.worksheet+xml">
        <DigestMethod Algorithm="http://www.w3.org/2001/04/xmlenc#sha256"/>
        <DigestValue>QSNZ1PjBfXBcw1TCpls5TJNDjkDetvZnm7RqoiZVKpo=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2023-03-31T19:59:56Z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{1926501D-D89A-4CE6-87AC-52FC7464D688}</SetupID>
          <SignatureText>Ysaias López Gómez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2023-03-31T19:59:56Z</xd:SigningTime>
          <xd:SigningCertificate>
            <xd:Cert>
              <xd:CertDigest>
                <DigestMethod Algorithm="http://www.w3.org/2001/04/xmlenc#sha256"/>
                <DigestValue>38cYPUMmi/erVSDz6iXmPNU0BS/QsT58u71y9eQ+ffM=</DigestValue>
              </xd:CertDigest>
              <xd:IssuerSerial>
                <X509IssuerName>CN=CA-CODE100 S.A., C=PY, O=CODE100 S.A., SERIALNUMBER=RUC 80080610-7</X509IssuerName>
                <X509SerialNumber>2051668684991338257886292687874427171817676630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+/vPMXXX8pPD+U3dIHr9BGoDy6M7UrZlXfexAGDzVgaTKlzJgZbkYFOYOKrN2fh1UnTPnStJsIjHywqpPqrW0y5rRm3preND4LMJhjmB0YSIp6LT8Nd5FvOtn/G2eBMZD1vFGooZ8p135TkWSGhTfNwssEYaLxWxFSnC8ntX+rfzBh0v9bx/iS2oRpvqLqTyOXvtgaTmUcGOMmzwRUnuQqRaHe7EQJMtYSnFKB8QZbxhnMSmhc3wxAcrO+mOruL/FO153UvU6uEJUP4uxjggxxyxcIWwQX40/TMWauVhG68YjIUZJBXJMSbO9AewBmKnWSWkZqD2ZTwg6fPew0cBOSsk2AvlA6w++ID+31F8uSm6OOxG/u9q3a7kHdfsH1N+tQBBdhuUr8+IcwNIgy4kkVQsNyF9jxwPimQHUXWTHnMxug0zb/+UyPX5U24dzq1FrMHneKi+m7fZYjPO3eN1FB/0ZhTqphfEM8QT8XHaPSxY+U8raBZnWqjZhCT5Xx02cmlHYZ/O4w7us9KKaMfLrMxioE8CdJsyTkN1K6z/Bd31FVPSfKJZBZ+4iAj6Wfa4sRci8KhB9tS9Tp4AeSY/yaf6OSh1FZSgaJ8UpCCJjX8BIlToDHyASJxtaR7AItaeD5p4XAgMBAAGjggJDMIICPzASBgNVHRMBAf8ECDAGAQH/AgEAMA4GA1UdDwEB/wQEAwIBBjAdBgNVHQ4EFgQUJ/baOwt/k/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+cWd8hBoX8ItgqJmxk4PwUT1802eP/ftLurBdCbAQv0lL81sDN00qtSo8LuqKv7ShZ5yYmrF6mEYJJYZ6AmCA5ji0nQ204rP7GKn3aA2wRy9DQ0WcAHB5YXVj4ihPMPWRf1y+zdDVEAJl2w2lmaBWPpg2Q/fIssSosmQozlHgb7HuVTLluHfZLdGiwq/pIk89qaoTpZs8s/ni2jMFvTx/3DHnY3Dz6s5kRDw2whrIjoV6xMDLJe3bm+rXKi2pGddUsqNrb6lCTUwN6bC0xIhwjRRxrBO9CMnj/8YT1GmR9kHKgP08tcyDSWk+woSoflKL/mlOkZf5o8TLTtSDeA87MMT0n18CWxzSLpkF97WXmJ8JGqTFDk1efqogYP6oanP9QvVUNGyEJw6DmGHEW3c29XaL1j/F4DTRCGEH2anQtpL6nV0l+mJ/hsDzPpPt92VilM4GdPZvk10JQ/yzj4+uNB9wozKLy427qbe6se/VaHa3iyutnxRP9sPEqHWfP/fm5u/e0PC9/JsjE89zti8rxEUK3hES0cSaLsCXpPKXPViaZI+1FeCtG9q2Deesy9diKtRnVZ1/ozb1rdfsug6BLWG4AsBnG3zduXA=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XGwAA4hIAACBFTUYAAAEAgBsAAKoAAAAGAAAAAAAAAAAAAAAAAAAAVgUAAAADAAByAQAAIgEAAAAAAAAAAAAAAAAAAFClBQDQb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AAAAPl/AABzohlh+X8AABMAFAAAAAAAsP1IYfl/AAAwFgPH+X8AAJiiGWH5fwAAAAAAAAAAAAAwFgPH+X8AAGm0W/GbAAAAAAAAAAAAAAADHegSYPEAAKNpC2D5fwAASAAAAIgCAAA06Uhh+X8AAIDxUWH5fwAAYOtIYQAAAAABAAAAAAAAALD9SGH5fwAAAAADx/l/AAAAAAAAAAAAAAAAAACbAAAAcc0zxvl/AAAAAAAAAAAAAAAAAAAAAAAA8MNOAogCAADItlvxmwAAAPDDTgKIAgAA2+A3xvl/AACQtVvxmwAAAEC2W/GbAAAAAAAAAAAAAAAAAAAAZHYACAAAAAAlAAAADAAAAAEAAAAYAAAADAAAAAAAAAISAAAADAAAAAEAAAAeAAAAGAAAAMMAAAAEAAAA9wAAABEAAAAlAAAADAAAAAEAAABUAAAAhAAAAMQAAAAEAAAA9QAAABAAAAABAAAA6rDYQasKF0LEAAAABAAAAAkAAABMAAAAAAAAAAAAAAAAAAAA//////////9gAAAAMwAxAC8AMw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N5b8ZsAAACQPwPH+X8AAAkAAAABAAAAiD5bxvl/AAAAAAAAAAAAAHOiGWH5fwAAkBZcd4gCAAAAAAAAAAAAAAAAAAAAAAAAAAAAAAAAAAAzdegSYPEAAAAAAAAAAAAA/////4gCAAAAAAAAAAAAAPDDTgKIAgAAoN5b8QAAAACgrHIDiAIAAAcAAAAAAAAAgBJnA4gCAADc3VvxmwAAADDeW/GbAAAAcc0zxvl/AAARAAAAAAAAAHKczrYAAAAAEQAAAAAAAADwIegEiAIAAPDDTgKIAgAA2+A3xvl/AACA3VvxmwAAADDeW/Gb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wCIIFiAIAAGTr/l/5fwAAoMRsA4gCAACIPlvG+X8AAAAAAAAAAAAAAbE2YPl/AAACAAAAAAAAAAIAAAAAAAAAAAAAAAAAAAAAAAAAAAAAAMOl6BJg8QAAYItkA4gCAACwOakLiAIAAAAAAAAAAAAA8MNOAogCAAAIDlvxAAAAAOD///8AAAAABgAAAAAAAAAFAAAAAAAAACwNW/GbAAAAgA1b8ZsAAABxzTPG+X8AAAAAAAAAAAAAkGCGxgAAAAAAAAAAAAAAAEwAAAAAAAAA8MNOAogCAADb4DfG+X8AANAMW/GbAAAAgA1b8ZsAAAAAAAAAAAAAAAAAAABkdgAIAAAAACUAAAAMAAAAAwAAABgAAAAMAAAAAAAAAhIAAAAMAAAAAQAAABYAAAAMAAAACAAAAFQAAABUAAAACgAAACcAAAAeAAAASgAAAAEAAADqsNhBqwoXQg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LcAAABHAAAAKQAAADMAAACPAAAAFQAAACEA8AAAAAAAAAAAAAAAgD8AAAAAAAAAAAAAgD8AAAAAAAAAAAAAAAAAAAAAAAAAAAAAAAAAAAAAAAAAACUAAAAMAAAAAAAAgCgAAAAMAAAABAAAAFIAAABwAQAABAAAAPD///8AAAAAAAAAAAAAAACQAQAAAAAAAQAAAABzAGUAZwBvAGUAIAB1AGkAAAAAAAAAAAAAAAAAAAAAAAAAAAAAAAAAAAAAAAAAAAAAAAAAAAAAAAAAAAAAAAAAAAAAACAAAAAAAAAACAAAAAAAAAAAAFt3iAIAAIg+W8b5fwAAAAAAAAAAAADHs7XI+X8AAAAAT3eIAgAAAQAAAPl/AAAAAAAAAAAAAAAAAAAAAAAAY6boEmDxAAABAAAAAAAAAHANewUCAAAAAAAAAAAAAADww04CiAIAAGgNW/EAAAAA8P///wAAAAAJAAAAAAAAAAYAAAAAAAAAjAxb8ZsAAADgDFvxmwAAAHHNM8b5fwAAAAAAAAAAAACQYIbGAAAAAAAAAAAAAAAAYAxb8ZsAAADww04CiAIAANvgN8b5fwAAMAxb8ZsAAADgDFvxmwAAACB5eQOIAgAAAAAAAGR2AAgAAAAAJQAAAAwAAAAEAAAAGAAAAAwAAAAAAAACEgAAAAwAAAABAAAAHgAAABgAAAApAAAAMwAAALgAAABIAAAAJQAAAAwAAAAEAAAAVAAAALgAAAAqAAAAMwAAALYAAABHAAAAAQAAAOqw2EGrChdCKgAAADMAAAASAAAATAAAAAAAAAAAAAAAAAAAAP//////////cAAAAFkAcwBhAGkAYQBzACAATADzAHAAZQB6ACAARwDzAG0AZQB6AAkAAAAHAAAACAAAAAQAAAAIAAAABwAAAAQAAAAIAAAACQAAAAkAAAAIAAAABwAAAAQAAAALAAAACQAAAA4AAAAIAAAAB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4AAAACgAAAFAAAABuAAAAXAAAAAEAAADqsNhBqwoXQgoAAABQAAAAEgAAAEwAAAAAAAAAAAAAAAAAAAD//////////3AAAABZAHMAYQBpAGEAcwAgAEwAbwBwAGUAegAgAEcAbwBtAGUAegAFAAAABQAAAAYAAAADAAAABgAAAAUAAAADAAAABQAAAAcAAAAHAAAABgAAAAUAAAADAAAACAAAAAcAAAAJAAAABgAAAAU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4AAAACgAAAGAAAAAvAAAAbAAAAAEAAADqsNhBqwoXQgoAAABgAAAABwAAAEwAAAAAAAAAAAAAAAAAAAD//////////1wAAABTAGkAbgBkAGkAYwBvAAAABgAAAAMAAAAHAAAABwAAAAMAAAAFAAAABwAAAEsAAABAAAAAMAAAAAUAAAAgAAAAAQAAAAEAAAAQAAAAAAAAAAAAAAAAAQAAgAAAAAAAAAAAAAAAAAEAAIAAAAAlAAAADAAAAAIAAAAnAAAAGAAAAAUAAAAAAAAA////AAAAAAAlAAAADAAAAAUAAABMAAAAZAAAAAkAAABwAAAAvgAAAHwAAAAJAAAAcAAAALYAAAANAAAAIQDwAAAAAAAAAAAAAACAPwAAAAAAAAAAAACAPwAAAAAAAAAAAAAAAAAAAAAAAAAAAAAAAAAAAAAAAAAAJQAAAAwAAAAAAACAKAAAAAwAAAAFAAAAJQAAAAwAAAABAAAAGAAAAAwAAAAAAAACEgAAAAwAAAABAAAAFgAAAAwAAAAAAAAAVAAAAAgBAAAKAAAAcAAAAL0AAAB8AAAAAQAAAOqw2EGrChdCCgAAAHAAAAAfAAAATAAAAAQAAAAJAAAAcAAAAL8AAAB9AAAAjAAAAEYAaQByAG0AYQBkAG8AIABwAG8AcgA6ACAAWQBTAEEASQBBAFMAIABMAE8AUABFAFoAIABHAE8ATQBFAFoAAAAGAAAAAwAAAAQAAAAJAAAABgAAAAcAAAAHAAAAAwAAAAcAAAAHAAAABAAAAAMAAAADAAAABQAAAAYAAAAHAAAAAwAAAAcAAAAGAAAAAwAAAAUAAAAJAAAABgAAAAYAAAAGAAAAAwAAAAgAAAAJAAAACgAAAAYAAAAGAAAAFgAAAAwAAAAAAAAAJQAAAAwAAAACAAAADgAAABQAAAAAAAAAEAAAABQAAAA=</Object>
  <Object Id="idInvalidSigLnImg">AQAAAGwAAAAAAAAAAAAAAP8AAAB/AAAAAAAAAAAAAAAXGwAA4hIAACBFTUYAAAEAIB8AALAAAAAGAAAAAAAAAAAAAAAAAAAAVgUAAAADAAByAQAAIgEAAAAAAAAAAAAAAAAAAFClBQDQb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Yek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2HpAAAAweD02+35gsLqZ5q6Jz1jNEJyOUZ4qamp+/v7////wdPeVnCJAQECAAAAAACv1/Ho8/ubzu6CwuqMudS3u769vb3////////////L5fZymsABAgMAAAAAAK/X8fz9/uLx+snk9uTy+vz9/v///////////////8vl9nKawAECA2HpAAAAotHvtdryxOL1xOL1tdry0+r32+350+r3tdryxOL1pdPvc5rAAQIDAAAAAABpj7ZnjrZqj7Zqj7ZnjrZtkbdukrdtkbdnjrZqj7ZojrZ3rdUCAwQAAA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AAAAAD5fwAAc6IZYfl/AAATABQAAAAAALD9SGH5fwAAMBYDx/l/AACYohlh+X8AAAAAAAAAAAAAMBYDx/l/AABptFvxmwAAAAAAAAAAAAAAAx3oEmDxAACjaQtg+X8AAEgAAACIAgAANOlIYfl/AACA8VFh+X8AAGDrSGEAAAAAAQAAAAAAAACw/Uhh+X8AAAAAA8f5fwAAAAAAAAAAAAAAAAAAmwAAAHHNM8b5fwAAAAAAAAAAAAAAAAAAAAAAAPDDTgKIAgAAyLZb8ZsAAADww04CiAIAANvgN8b5fwAAkLVb8ZsAAABAtlvxmwAAAAAAAAAAAAAAAAAAAGR2AAgAAAAAJQAAAAwAAAABAAAAGAAAAAwAAAD/AAACEgAAAAwAAAABAAAAHgAAABgAAAAiAAAABAAAAHIAAAARAAAAJQAAAAwAAAABAAAAVAAAAKgAAAAjAAAABAAAAHAAAAAQAAAAAQAAAOqw2EGrChdCIwAAAAQAAAAPAAAATAAAAAAAAAAAAAAAAAAAAP//////////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eW/GbAAAAkD8Dx/l/AAAJAAAAAQAAAIg+W8b5fwAAAAAAAAAAAABzohlh+X8AAJAWXHeIAgAAAAAAAAAAAAAAAAAAAAAAAAAAAAAAAAAAM3XoEmDxAAAAAAAAAAAAAP////+IAgAAAAAAAAAAAADww04CiAIAAKDeW/EAAAAAoKxyA4gCAAAHAAAAAAAAAIASZwOIAgAA3N1b8ZsAAAAw3lvxmwAAAHHNM8b5fwAAEQAAAAAAAABynM62AAAAABEAAAAAAAAA8CHoBIgCAADww04CiAIAANvgN8b5fwAAgN1b8ZsAAAAw3lvxmw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sAiCBYgCAABk6/5f+X8AAKDEbAOIAgAAiD5bxvl/AAAAAAAAAAAAAAGxNmD5fwAAAgAAAAAAAAACAAAAAAAAAAAAAAAAAAAAAAAAAAAAAADDpegSYPEAAGCLZAOIAgAAsDmpC4gCAAAAAAAAAAAAAPDDTgKIAgAACA5b8QAAAADg////AAAAAAYAAAAAAAAABQAAAAAAAAAsDVvxmwAAAIANW/GbAAAAcc0zxvl/AAAAAAAAAAAAAJBghsYAAAAAAAAAAAAAAABMAAAAAAAAAPDDTgKIAgAA2+A3xvl/AADQDFvxmwAAAIANW/GbAAAAAAAAAAAAAAAAAAAAZHYACAAAAAAlAAAADAAAAAMAAAAYAAAADAAAAAAAAAISAAAADAAAAAEAAAAWAAAADAAAAAgAAABUAAAAVAAAAAoAAAAnAAAAHgAAAEoAAAABAAAA6rDYQasKF0I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3AAAARwAAACkAAAAzAAAAjwAAABUAAAAhAPAAAAAAAAAAAAAAAIA/AAAAAAAAAAAAAIA/AAAAAAAAAAAAAAAAAAAAAAAAAAAAAAAAAAAAAAAAAAAlAAAADAAAAAAAAIAoAAAADAAAAAQAAABSAAAAcAEAAAQAAADw////AAAAAAAAAAAAAAAAkAEAAAAAAAEAAAAAcwBlAGcAbwBlACAAdQBpAAAAAAAAAAAAAAAAAAAAAAAAAAAAAAAAAAAAAAAAAAAAAAAAAAAAAAAAAAAAAAAAAAAAAAAgAAAAAAAAAAgAAAAAAAAAAABbd4gCAACIPlvG+X8AAAAAAAAAAAAAx7O1yPl/AAAAAE93iAIAAAEAAAD5fwAAAAAAAAAAAAAAAAAAAAAAAGOm6BJg8QAAAQAAAAAAAABwDXsFAgAAAAAAAAAAAAAA8MNOAogCAABoDVvxAAAAAPD///8AAAAACQAAAAAAAAAGAAAAAAAAAIwMW/GbAAAA4Axb8ZsAAABxzTPG+X8AAAAAAAAAAAAAkGCGxgAAAAAAAAAAAAAAAGAMW/GbAAAA8MNOAogCAADb4DfG+X8AADAMW/GbAAAA4Axb8ZsAAAAgeXkDiAIAAAAAAABkdgAIAAAAACUAAAAMAAAABAAAABgAAAAMAAAAAAAAAhIAAAAMAAAAAQAAAB4AAAAYAAAAKQAAADMAAAC4AAAASAAAACUAAAAMAAAABAAAAFQAAAC4AAAAKgAAADMAAAC2AAAARwAAAAEAAADqsNhBqwoXQioAAAAzAAAAEgAAAEwAAAAAAAAAAAAAAAAAAAD//////////3AAAABZAHMAYQBpAGEAcwAgAEwA8wBwAGUAegAgAEcA8wBtAGUAegAJAAAABwAAAAgAAAAEAAAACAAAAAcAAAAEAAAACAAAAAkAAAAJAAAACAAAAAcAAAAEAAAACwAAAAkAAAAOAAAACAAAAAc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uAAAAAoAAABQAAAAbgAAAFwAAAABAAAA6rDYQasKF0IKAAAAUAAAABIAAABMAAAAAAAAAAAAAAAAAAAA//////////9wAAAAWQBzAGEAaQBhAHMAIABMAG8AcABlAHoAIABHAG8AbQBlAHoABQAAAAUAAAAGAAAAAwAAAAYAAAAFAAAAAwAAAAUAAAAHAAAABwAAAAYAAAAFAAAAAwAAAAgAAAAHAAAACQAAAAYAAAAF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eAAAAAoAAABgAAAALwAAAGwAAAABAAAA6rDYQasKF0IKAAAAYAAAAAcAAABMAAAAAAAAAAAAAAAAAAAA//////////9cAAAAUwBpAG4AZABpAGMAbwAAAAYAAAADAAAABwAAAAcAAAADAAAABQAAAAcAAABLAAAAQAAAADAAAAAFAAAAIAAAAAEAAAABAAAAEAAAAAAAAAAAAAAAAAEAAIAAAAAAAAAAAAAAAAABAACAAAAAJQAAAAwAAAACAAAAJwAAABgAAAAFAAAAAAAAAP///wAAAAAAJQAAAAwAAAAFAAAATAAAAGQAAAAJAAAAcAAAAL4AAAB8AAAACQAAAHAAAAC2AAAADQAAACEA8AAAAAAAAAAAAAAAgD8AAAAAAAAAAAAAgD8AAAAAAAAAAAAAAAAAAAAAAAAAAAAAAAAAAAAAAAAAACUAAAAMAAAAAAAAgCgAAAAMAAAABQAAACUAAAAMAAAAAQAAABgAAAAMAAAAAAAAAhIAAAAMAAAAAQAAABYAAAAMAAAAAAAAAFQAAAAIAQAACgAAAHAAAAC9AAAAfAAAAAEAAADqsNhBqwoXQgoAAABwAAAAHwAAAEwAAAAEAAAACQAAAHAAAAC/AAAAfQAAAIwAAABGAGkAcgBtAGEAZABvACAAcABvAHIAOgAgAFkAUwBBAEkAQQBTACAATABPAFAARQBaACAARwBPAE0ARQBaAAAABgAAAAMAAAAEAAAACQAAAAYAAAAHAAAABwAAAAMAAAAHAAAABwAAAAQAAAADAAAAAwAAAAUAAAAGAAAABwAAAAMAAAAHAAAABgAAAAMAAAAFAAAACQAAAAYAAAAGAAAABgAAAAMAAAAIAAAACQAAAAoAAAAGAAAABgAAABYAAAAMAAAAAAAAACUAAAAMAAAAAgAAAA4AAAAUAAAAAAAAABAAAAAUAAAA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bHt0w1NMpeDEEYIphzVmQMOfLGI+Qeqawk8mC5anros=</DigestValue>
    </Reference>
    <Reference Type="http://www.w3.org/2000/09/xmldsig#Object" URI="#idOfficeObject">
      <DigestMethod Algorithm="http://www.w3.org/2001/04/xmlenc#sha256"/>
      <DigestValue>C0g5O6wTJhXI1wa3y/M3Xw8FSVf1+5N6hRsaVsIFcHQ=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I+4S4dVOFxRC3/U3QV/CyOqVmJdJ1ousA+BlQzYr3qs=</DigestValue>
    </Reference>
    <Reference Type="http://www.w3.org/2000/09/xmldsig#Object" URI="#idValidSigLnImg">
      <DigestMethod Algorithm="http://www.w3.org/2001/04/xmlenc#sha256"/>
      <DigestValue>XZDFTvgLnZe5V4xBFtthfOXh6ZpETLLG3b1TgB3zbjg=</DigestValue>
    </Reference>
    <Reference Type="http://www.w3.org/2000/09/xmldsig#Object" URI="#idInvalidSigLnImg">
      <DigestMethod Algorithm="http://www.w3.org/2001/04/xmlenc#sha256"/>
      <DigestValue>JGULZGxCOEtfomJjcX/njh+cWD7X0QgTfoUghLEZ2Ro=</DigestValue>
    </Reference>
  </SignedInfo>
  <SignatureValue>kZlvJ03jwpjx1SRamsYE+WSlPbqy4hr4vdxKd2eiHnlnnrqwrzfKclICVLBCUFg/jUwpxTzmkkf9
M62vTplwvmhLfxxY08YNBRR8CvC6jmZ5nJICG2AGRl5jPBxrTsh4kcAxJ+z09fnltVKUcn9y7zEt
wMLg14coAGkuIVrnTNsVS7VHR/NUdpTI5r5sAIavf031jjiuIHOW+u4APAxMAt/30Xw2u+cT/lvF
ejQr7qbruOntvEcCcp334x62H2SVHe+72zRwDD05xiOmu2dRGljdc8oPkUuMQmozqjDX7vsjwK+R
WoeFcKLxvpXqyMWV8UtARwAQhzsHkPn2Gvy0OQ==</SignatureValue>
  <KeyInfo>
    <X509Data>
      <X509Certificate>MIID8jCCAtqgAwIBAgIQLs++DliPgaBKndi73Lm1yjANBgkqhkiG9w0BAQsFADB4MXYwEQYKCZImiZPyLGQBGRYDbmV0MBUGCgmSJomT8ixkARkWB3dpbmRvd3MwHQYDVQQDExZNUy1Pcmdhbml6YXRpb24tQWNjZXNzMCsGA1UECxMkODJkYmFjYTQtM2U4MS00NmNhLTljNzMtMDk1MGMxZWFjYTk3MB4XDTIzMDMyNzE1MzI1OVoXDTMzMDMyNzE2MDI1OVowLzEtMCsGA1UEAxMkNWM3MDFkOWEtYzhmOC00N2Y5LWE5MWYtNjk1MThlNmVmMmFjMIIBIjANBgkqhkiG9w0BAQEFAAOCAQ8AMIIBCgKCAQEA2EvKjpwweH4cFBSWFsHWThck3bVhq1RAUMOGTJUjiZuEolZXqX6rO+/NYwB0T7X4AS/ejvMfbeuHdi6OyK2n7kWKw214cVVWyXYmyqCtgulgpRMuwmxPgaDVDoUb4IrwDVqhh5fGXGhXFqEGrb9OLuouXdzM30gtTY5+eFjgzL65avCDHrlP0b0P47Pxiv6pVrGUgLDx08l8GCv3D6NP8Bk0zgXmpMH2mk3HjYsUborJVHTzmSehD5lBhlFOKHN7QJq/BLlal4kpM6z6KSay/IwqYLWs8HBiIda8mDlXEaTh3Yb0pzlANo/P85GGmlYPCxIqS2otAJj5tMG5yKoBSQIDAQABo4HAMIG9MAwGA1UdEwEB/wQCMAAwFgYDVR0lAQH/BAwwCgYIKwYBBQUHAwIwIgYLKoZIhvcUAQWCHAIEEwSBEJodcFz4yPlHqR9pUY5u8qwwIgYLKoZIhvcUAQWCHAMEEwSBEAboMwJNA05Mn7MRz1eaungwIgYLKoZIhvcUAQWCHAUEEwSBEFLGni5QWY5Os7pSE8Zoy8QwFAYLKoZIhvcUAQWCHAgEBQSBAlNBMBMGCyqGSIb3FAEFghwHBAQEgQEwMA0GCSqGSIb3DQEBCwUAA4IBAQA4jmadvWBm7/lIEsst6Foyr7ppXDSDW53On+0j/FNMnaQnxcbt4k6ZR+HTMZJiwq9u+1bk7iCuSt3nVCU1QP3ikS+k1K0gS3qCSW4Ww2izaiYgzic+DCp1wrXoyes9CwKaFgmjfPar/xR/iEAM3/tejkQdts6m+sazEjxRu6eRtNDq5ygpW7kRYjzFJbrmaDbGBowIpt1QC5vWnHfuirmisEi2KpL7pELfKUWx8VleB4BE0ttE+2D2l4rAJLS/6GpXMxYm3wWj2NpoRYxaEtfRBa+fk/lztYaDFdB0J6XnwfkRxlMMtdMmbZvrPmh0to3F7JT36bPmQUTL1VujPssg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Txt1swa/bPIPmFGsZWwoEndhraiRbq1VVTVPE31ObWk=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7A6vZ7zkPzS9u46vAbI0CTdJK407ShiI7XQz2/JE+gs=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H6D/PCqqbYO40jDHb2D60Vt9hQ8U6OvF/s+CNSTog8o=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evLzBN/FKF+HS74Qdv10+CU1JQPXeHwtofEfP2sc0e4=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1SMfItI0vYaOoxDr33zyeI18EyQM+MTbv/d4PxzVhR0=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nssU7vY2dcgKUywGNl98M7XIzTEEKx7epX16+hDrUm0=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Sq09IcEMc0OyzgElN/R1RheQxt7xNWTgUQttKfEduUs=</DigestValue>
      </Reference>
      <Reference URI="/xl/media/image4.emf?ContentType=image/x-emf">
        <DigestMethod Algorithm="http://www.w3.org/2001/04/xmlenc#sha256"/>
        <DigestValue>D2KvhmVhhdJam+yefgSQqXFtiuBItdXUQFyPNoiNVjA=</DigestValue>
      </Reference>
      <Reference URI="/xl/media/image5.emf?ContentType=image/x-emf">
        <DigestMethod Algorithm="http://www.w3.org/2001/04/xmlenc#sha256"/>
        <DigestValue>rFJiCVnI11hHbap/QG/4A9wdZUEb0V4oETjJaZOppC0=</DigestValue>
      </Reference>
      <Reference URI="/xl/media/image6.emf?ContentType=image/x-emf">
        <DigestMethod Algorithm="http://www.w3.org/2001/04/xmlenc#sha256"/>
        <DigestValue>mO18NeCEOm2tuV+oOxM7/3Ri+e84ukb322aFd2q7UzQ=</DigestValue>
      </Reference>
      <Reference URI="/xl/media/image7.emf?ContentType=image/x-emf">
        <DigestMethod Algorithm="http://www.w3.org/2001/04/xmlenc#sha256"/>
        <DigestValue>mGDMR6WRlTY4XX0NJsHoFf/769sDcgS7+y7IECocvaA=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adxJ+eSKsW+DPP/SKAaVGn4zwFM7hfPbcP2IwB7CIyE=</DigestValue>
      </Reference>
      <Reference URI="/xl/styles.xml?ContentType=application/vnd.openxmlformats-officedocument.spreadsheetml.styles+xml">
        <DigestMethod Algorithm="http://www.w3.org/2001/04/xmlenc#sha256"/>
        <DigestValue>UJ1z0xkJ249llmFkbd/pS4D7KkXT0w88grLlV0TxaMU=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rXjcB6Oqs49oIu3X+5mFYTG6VKCCYGsWIxK+R66pIYQ=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1hwWLEcX7cD0rekfAruNsbip83VGHwMp3VxnZ1/0Y+I=</DigestValue>
      </Reference>
      <Reference URI="/xl/worksheets/sheet10.xml?ContentType=application/vnd.openxmlformats-officedocument.spreadsheetml.worksheet+xml">
        <DigestMethod Algorithm="http://www.w3.org/2001/04/xmlenc#sha256"/>
        <DigestValue>v/gRmh4SCcAu3htqv7sgQ6haygYiTtWtZ2+mr/crc4s=</DigestValue>
      </Reference>
      <Reference URI="/xl/worksheets/sheet11.xml?ContentType=application/vnd.openxmlformats-officedocument.spreadsheetml.worksheet+xml">
        <DigestMethod Algorithm="http://www.w3.org/2001/04/xmlenc#sha256"/>
        <DigestValue>9VQodMfmu8Vcrdekv2CPImNTEbzTCJW9jtcOO0RR6Dc=</DigestValue>
      </Reference>
      <Reference URI="/xl/worksheets/sheet12.xml?ContentType=application/vnd.openxmlformats-officedocument.spreadsheetml.worksheet+xml">
        <DigestMethod Algorithm="http://www.w3.org/2001/04/xmlenc#sha256"/>
        <DigestValue>xLI9lf9BkDNiFdzYWLvPqF8yWgWUNkPJEoSzkkhKg2Q=</DigestValue>
      </Reference>
      <Reference URI="/xl/worksheets/sheet13.xml?ContentType=application/vnd.openxmlformats-officedocument.spreadsheetml.worksheet+xml">
        <DigestMethod Algorithm="http://www.w3.org/2001/04/xmlenc#sha256"/>
        <DigestValue>6hbqnHkTRCApBH1OciO9EC5+iQ5v982YBVC+cRWqRg0=</DigestValue>
      </Reference>
      <Reference URI="/xl/worksheets/sheet14.xml?ContentType=application/vnd.openxmlformats-officedocument.spreadsheetml.worksheet+xml">
        <DigestMethod Algorithm="http://www.w3.org/2001/04/xmlenc#sha256"/>
        <DigestValue>hCU9rr00S2gzikbzuTnpHs4o/dkdM82B6gL+roJXdn0=</DigestValue>
      </Reference>
      <Reference URI="/xl/worksheets/sheet15.xml?ContentType=application/vnd.openxmlformats-officedocument.spreadsheetml.worksheet+xml">
        <DigestMethod Algorithm="http://www.w3.org/2001/04/xmlenc#sha256"/>
        <DigestValue>om++H/Kafxtrwt9DBOEjzJUQlYnVI4I6qGIo06Ps+XU=</DigestValue>
      </Reference>
      <Reference URI="/xl/worksheets/sheet16.xml?ContentType=application/vnd.openxmlformats-officedocument.spreadsheetml.worksheet+xml">
        <DigestMethod Algorithm="http://www.w3.org/2001/04/xmlenc#sha256"/>
        <DigestValue>sOZkEbApWLiK+1fGaUuvUDUXa5D3yqjEiqw0xBcgHrs=</DigestValue>
      </Reference>
      <Reference URI="/xl/worksheets/sheet17.xml?ContentType=application/vnd.openxmlformats-officedocument.spreadsheetml.worksheet+xml">
        <DigestMethod Algorithm="http://www.w3.org/2001/04/xmlenc#sha256"/>
        <DigestValue>lzDDqOWtU/Mbrsh7Fe/4ivAfhQ3M8qb5T2UqaUjNGtU=</DigestValue>
      </Reference>
      <Reference URI="/xl/worksheets/sheet18.xml?ContentType=application/vnd.openxmlformats-officedocument.spreadsheetml.worksheet+xml">
        <DigestMethod Algorithm="http://www.w3.org/2001/04/xmlenc#sha256"/>
        <DigestValue>2lEr2q4/CBwZi9hYODs3DzyxRTwy4b+Onch7lhXtZQQ=</DigestValue>
      </Reference>
      <Reference URI="/xl/worksheets/sheet19.xml?ContentType=application/vnd.openxmlformats-officedocument.spreadsheetml.worksheet+xml">
        <DigestMethod Algorithm="http://www.w3.org/2001/04/xmlenc#sha256"/>
        <DigestValue>Y2RtJoiebpCzZ1GDPnIgzB//acfSxWLZuuL3YG4Xh6Y=</DigestValue>
      </Reference>
      <Reference URI="/xl/worksheets/sheet2.xml?ContentType=application/vnd.openxmlformats-officedocument.spreadsheetml.worksheet+xml">
        <DigestMethod Algorithm="http://www.w3.org/2001/04/xmlenc#sha256"/>
        <DigestValue>UIYZcsLNyVa4Zwau7I/a/9FlDqrIDZGG/Qt6KUY13EE=</DigestValue>
      </Reference>
      <Reference URI="/xl/worksheets/sheet20.xml?ContentType=application/vnd.openxmlformats-officedocument.spreadsheetml.worksheet+xml">
        <DigestMethod Algorithm="http://www.w3.org/2001/04/xmlenc#sha256"/>
        <DigestValue>cA134CbwAK51w6yJDb4rEyz3W/UNUlBZZgOg6iKtq8k=</DigestValue>
      </Reference>
      <Reference URI="/xl/worksheets/sheet21.xml?ContentType=application/vnd.openxmlformats-officedocument.spreadsheetml.worksheet+xml">
        <DigestMethod Algorithm="http://www.w3.org/2001/04/xmlenc#sha256"/>
        <DigestValue>/UIXSswRKTc+IlEf/civc1AiL+V1Y7W8NLUTnM6kawo=</DigestValue>
      </Reference>
      <Reference URI="/xl/worksheets/sheet22.xml?ContentType=application/vnd.openxmlformats-officedocument.spreadsheetml.worksheet+xml">
        <DigestMethod Algorithm="http://www.w3.org/2001/04/xmlenc#sha256"/>
        <DigestValue>NNsMlc+PjlFKCZHAZ35hghG5r6mDdZgyAoBG7LH1k9o=</DigestValue>
      </Reference>
      <Reference URI="/xl/worksheets/sheet23.xml?ContentType=application/vnd.openxmlformats-officedocument.spreadsheetml.worksheet+xml">
        <DigestMethod Algorithm="http://www.w3.org/2001/04/xmlenc#sha256"/>
        <DigestValue>x6qr3AdnKK29YgJkxZU96I+hXvkriPpG5toXfLdglHA=</DigestValue>
      </Reference>
      <Reference URI="/xl/worksheets/sheet24.xml?ContentType=application/vnd.openxmlformats-officedocument.spreadsheetml.worksheet+xml">
        <DigestMethod Algorithm="http://www.w3.org/2001/04/xmlenc#sha256"/>
        <DigestValue>xoao/3pQQ8p1uIV+8hIBZoALM0uGTTmNDKgLPrDf3Kk=</DigestValue>
      </Reference>
      <Reference URI="/xl/worksheets/sheet25.xml?ContentType=application/vnd.openxmlformats-officedocument.spreadsheetml.worksheet+xml">
        <DigestMethod Algorithm="http://www.w3.org/2001/04/xmlenc#sha256"/>
        <DigestValue>4CZd5PnNA9XSY+XtzN94gqNY4HP2dscgnzwuVM5lkI0=</DigestValue>
      </Reference>
      <Reference URI="/xl/worksheets/sheet26.xml?ContentType=application/vnd.openxmlformats-officedocument.spreadsheetml.worksheet+xml">
        <DigestMethod Algorithm="http://www.w3.org/2001/04/xmlenc#sha256"/>
        <DigestValue>E7CAXofbRB+Hga70CAQcWfoGKymZSo71F6cwmrdV8to=</DigestValue>
      </Reference>
      <Reference URI="/xl/worksheets/sheet27.xml?ContentType=application/vnd.openxmlformats-officedocument.spreadsheetml.worksheet+xml">
        <DigestMethod Algorithm="http://www.w3.org/2001/04/xmlenc#sha256"/>
        <DigestValue>lC/CIvQaYN9gomIKDCgHslSArBeshiXlzr7MCI5onTU=</DigestValue>
      </Reference>
      <Reference URI="/xl/worksheets/sheet28.xml?ContentType=application/vnd.openxmlformats-officedocument.spreadsheetml.worksheet+xml">
        <DigestMethod Algorithm="http://www.w3.org/2001/04/xmlenc#sha256"/>
        <DigestValue>tfsp0Ia5zHnvh52xRh1jKzRqSksazG9QpsqymvOLM/s=</DigestValue>
      </Reference>
      <Reference URI="/xl/worksheets/sheet29.xml?ContentType=application/vnd.openxmlformats-officedocument.spreadsheetml.worksheet+xml">
        <DigestMethod Algorithm="http://www.w3.org/2001/04/xmlenc#sha256"/>
        <DigestValue>E0yyKFbn5P8B1hTx70u0M6kcTOgnBoWdWBgyT8Hnw9w=</DigestValue>
      </Reference>
      <Reference URI="/xl/worksheets/sheet3.xml?ContentType=application/vnd.openxmlformats-officedocument.spreadsheetml.worksheet+xml">
        <DigestMethod Algorithm="http://www.w3.org/2001/04/xmlenc#sha256"/>
        <DigestValue>wK0GnEeR1Zt1FXFUVHCueEz4gHjkTtiqU9O8+qCbEsc=</DigestValue>
      </Reference>
      <Reference URI="/xl/worksheets/sheet30.xml?ContentType=application/vnd.openxmlformats-officedocument.spreadsheetml.worksheet+xml">
        <DigestMethod Algorithm="http://www.w3.org/2001/04/xmlenc#sha256"/>
        <DigestValue>nXun5/s07xUAOHP563CUzDVy1wu5a6ZM8IQQRG2ZNwQ=</DigestValue>
      </Reference>
      <Reference URI="/xl/worksheets/sheet4.xml?ContentType=application/vnd.openxmlformats-officedocument.spreadsheetml.worksheet+xml">
        <DigestMethod Algorithm="http://www.w3.org/2001/04/xmlenc#sha256"/>
        <DigestValue>j41lHLZUciPZHZ7sHhlrcqM1v10wY0G6TukEB/NM+Bo=</DigestValue>
      </Reference>
      <Reference URI="/xl/worksheets/sheet5.xml?ContentType=application/vnd.openxmlformats-officedocument.spreadsheetml.worksheet+xml">
        <DigestMethod Algorithm="http://www.w3.org/2001/04/xmlenc#sha256"/>
        <DigestValue>J+7R/RvsD5RAs0T76O3FXbfL/U56PvnGhTbhbPa9DYI=</DigestValue>
      </Reference>
      <Reference URI="/xl/worksheets/sheet6.xml?ContentType=application/vnd.openxmlformats-officedocument.spreadsheetml.worksheet+xml">
        <DigestMethod Algorithm="http://www.w3.org/2001/04/xmlenc#sha256"/>
        <DigestValue>RV8E4qJTwm2rMjLII0QqiNXTa0Gi16y1YfOSBkE6MDY=</DigestValue>
      </Reference>
      <Reference URI="/xl/worksheets/sheet7.xml?ContentType=application/vnd.openxmlformats-officedocument.spreadsheetml.worksheet+xml">
        <DigestMethod Algorithm="http://www.w3.org/2001/04/xmlenc#sha256"/>
        <DigestValue>ygF30QmTMcnJaTZIg81yM51bJSTuRruSRIuM8xBFQ4w=</DigestValue>
      </Reference>
      <Reference URI="/xl/worksheets/sheet8.xml?ContentType=application/vnd.openxmlformats-officedocument.spreadsheetml.worksheet+xml">
        <DigestMethod Algorithm="http://www.w3.org/2001/04/xmlenc#sha256"/>
        <DigestValue>0ShdXNv9ineY57NCPjKbDXHgr6p2GOOpxmA8miO6TkQ=</DigestValue>
      </Reference>
      <Reference URI="/xl/worksheets/sheet9.xml?ContentType=application/vnd.openxmlformats-officedocument.spreadsheetml.worksheet+xml">
        <DigestMethod Algorithm="http://www.w3.org/2001/04/xmlenc#sha256"/>
        <DigestValue>QSNZ1PjBfXBcw1TCpls5TJNDjkDetvZnm7RqoiZVKpo=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2023-03-31T16:54:01Z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{64EA85E1-4EDB-41DA-9B5B-40E5856AEB9B}</SetupID>
          <SignatureText>Giuseppe Saurini</SignatureText>
          <SignatureImage/>
          <SignatureComments/>
          <WindowsVersion>10.0</WindowsVersion>
          <OfficeVersion>16.0.16130/24</OfficeVersion>
          <ApplicationVersion>16.0.16130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2023-03-31T16:54:01Z</xd:SigningTime>
          <xd:SigningCertificate>
            <xd:Cert>
              <xd:CertDigest>
                <DigestMethod Algorithm="http://www.w3.org/2001/04/xmlenc#sha256"/>
                <DigestValue>ae2IpbM1joKocn2/gHZpi6ZskDIP9dQZHQ3m98VnrTk=</DigestValue>
              </xd:CertDigest>
              <xd:IssuerSerial>
                <X509IssuerName>DC=net + DC=windows + CN=MS-Organization-Access + OU=82dbaca4-3e81-46ca-9c73-0950c1eaca97</X509IssuerName>
                <X509SerialNumber>62223148050249977888377505629452481994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B4BAAB/AAAAAAAAAAAAAAC5HQAAPg0AACBFTUYAAAEA5BsAAKoAAAAGAAAAAAAAAAAAAAAAAAAAgAcAADgEAAD9AQAAHgEAAAAAAAAAAAAAAAAAAEjEBwAwXQQACgAAABAAAAAAAAAAAAAAAEsAAAAQAAAAAAAAAAUAAAAeAAAAGAAAAAAAAAAAAAAAHwEAAIAAAAAnAAAAGAAAAAEAAAAAAAAAAAAAAAAAAAAlAAAADAAAAAEAAABMAAAAZAAAAAAAAAAAAAAAHgEAAH8AAAAAAAAAAAAAAB8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eAQAAfwAAAAAAAAAAAAAAHwEAAIAAAAAhAPAAAAAAAAAAAAAAAIA/AAAAAAAAAAAAAIA/AAAAAAAAAAAAAAAAAAAAAAAAAAAAAAAAAAAAAAAAAAAlAAAADAAAAAAAAIAoAAAADAAAAAEAAAAnAAAAGAAAAAEAAAAAAAAA8PDwAAAAAAAlAAAADAAAAAEAAABMAAAAZAAAAAAAAAAAAAAAHgEAAH8AAAAAAAAAAAAAAB8BAACAAAAAIQDwAAAAAAAAAAAAAACAPwAAAAAAAAAAAACAPwAAAAAAAAAAAAAAAAAAAAAAAAAAAAAAAAAAAAAAAAAAJQAAAAwAAAAAAACAKAAAAAwAAAABAAAAJwAAABgAAAABAAAAAAAAAPDw8AAAAAAAJQAAAAwAAAABAAAATAAAAGQAAAAAAAAAAAAAAB4BAAB/AAAAAAAAAAAAAAAfAQAAgAAAACEA8AAAAAAAAAAAAAAAgD8AAAAAAAAAAAAAgD8AAAAAAAAAAAAAAAAAAAAAAAAAAAAAAAAAAAAAAAAAACUAAAAMAAAAAAAAgCgAAAAMAAAAAQAAACcAAAAYAAAAAQAAAAAAAADw8PAAAAAAACUAAAAMAAAAAQAAAEwAAABkAAAAAAAAAAAAAAAeAQAAfwAAAAAAAAAAAAAAHwEAAIAAAAAhAPAAAAAAAAAAAAAAAIA/AAAAAAAAAAAAAIA/AAAAAAAAAAAAAAAAAAAAAAAAAAAAAAAAAAAAAAAAAAAlAAAADAAAAAAAAIAoAAAADAAAAAEAAAAnAAAAGAAAAAEAAAAAAAAA////AAAAAAAlAAAADAAAAAEAAABMAAAAZAAAAAAAAAAAAAAAHgEAAH8AAAAAAAAAAAAAAB8BAACAAAAAIQDwAAAAAAAAAAAAAACAPwAAAAAAAAAAAACAPwAAAAAAAAAAAAAAAAAAAAAAAAAAAAAAAAAAAAAAAAAAJQAAAAwAAAAAAACAKAAAAAwAAAABAAAAJwAAABgAAAABAAAAAAAAAP///wAAAAAAJQAAAAwAAAABAAAATAAAAGQAAAAAAAAAAAAAAB4BAAB/AAAAAAAAAAAAAAAf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CAAAAAAAAAA8FVJ/n8AAADwVUn+fwAAEwAAAAAAAAAAAPKo/n8AAA2/qEj+fwAAMBbyqP5/AAATAAAAAAAAAOAWAAAAAAAAQAAAwP5/AAAAAPKo/n8AANXBqEj+fwAABAAAAAAAAAAwFvKo/n8AAAC7j/otAAAAEwAAAAAAAABIAAAAAAAAAMwuOUn+fwAAkPNVSf5/AAAAMzlJ/n8AAAEAAAAAAAAAWFg5Sf5/AAAAAPKo/n8AAAAAAAAAAAAAAAAAAAAAAACguo/6LQAAAPD7U2K6AQAA2+BAp/5/AADQu4/6LQAAAGm8j/otAAAAAAAAAAAAAAAAAAAAZHYACAAAAAAlAAAADAAAAAEAAAAYAAAADAAAAAAAAAASAAAADAAAAAEAAAAeAAAAGAAAAMMAAAAEAAAA9wAAABEAAAAlAAAADAAAAAEAAABUAAAAhAAAAMQAAAAEAAAA9QAAABAAAAABAAAAVRXUQRPa00HEAAAABAAAAAkAAABMAAAAAAAAAAAAAAAAAAAA//////////9gAAAAMwAxAC8AMwAvADIAMAAyADMAAAAGAAAABgAAAAQAAAAGAAAABAAAAAYAAAAGAAAABgAAAAYAAABLAAAAQAAAADAAAAAFAAAAIAAAAAEAAAABAAAAEAAAAAAAAAAAAAAAHwEAAIAAAAAAAAAAAAAAAB8BAACAAAAAUgAAAHABAAACAAAAEAAAAAcAAAAAAAAAAAAAALwCAAAAAAAAAQICIlMAeQBzAHQAZQBtAAAAAAAAAAAAAAAAAAAAAAAAAAAAAAAAAAAAAAAAAAAAAAAAAAAAAAAAAAAAAAAAAAAAAAAAAAAASMGoSP5/AAD4J476LQAAAAABAAAAAAAAiD5kp/5/AAAAAAAAAAAAAAkAAAAAAAAAuK6ucLoBAABIwahI/n8AAAAAAAAAAAAAAAAAAAAAAADRfbnZJboAAHgpjvotAAAAAAAAAAAAAAAguqZwugEAAPD7U2K6AQAAoCqO+gAAAAAAAAAAAAAAAAcAAAAAAAAAOG6ucLoBAADcKY76LQAAABkqjvotAAAAcc08p/5/AAABAAAAugEAAFAtjvoAAAAA8LWAJ8DiAAAAAAAAAAAAAPD7U2K6AQAA2+BAp/5/AACAKY76LQAAABkqjvotAAAAoMbmcLo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QnURI/n8AAHDNGHe6AQAAcM0YdwIAAACIPmSn/n8AAAAAAAAAAAAAmeuRR/5/AAAAAAAA/n8AAAAAAAAAAAAAAAAAAAAAAAAAAAAAAAAAAEEpudklugAAAAAAAAAAAABwzRh3ugEAAOD///8AAAAA8PtTYroBAAAodo76AAAAAAAAAAAAAAAABgAAAAAAAAAgAAAAAAAAAEx1jvotAAAAiXWO+i0AAABxzTyn/n8AAPB5jvotAAAAAAAAAAAAAAAQcWdrugEAALhhG0j+fwAA8PtTYroBAADb4ECn/n8AAPB0jvotAAAAiXWO+i0AAAAg3VtiugEAAAAAAABkdgAIAAAAACUAAAAMAAAAAwAAABgAAAAMAAAAAAAAABIAAAAMAAAAAQAAABYAAAAMAAAACAAAAFQAAABUAAAACgAAACcAAAAeAAAASgAAAAEAAABVFdRBE9rT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AAAHhyGUj+fwAAGueIR/5/AAAAfo76LQAAAIg+ZKf+fwAAAAAAAAAAAAAAAAAAAAAAAAB2GUj+fwAAcM0Yd7oBAAAAAAAAAAAAAAAAAAAAAAAAoSi52SW6AAD//////////+BXJGK6AQAA8P///wAAAADw+1NiugEAAEh3jvoAAAAAAAAAAAAAAAAJAAAAAAAAACAAAAAAAAAAbHaO+i0AAACpdo76LQAAAHHNPKf+fwAAAAAAAAAAAAAAAAAAAAAAAAAAAAAAAAAAAAAAAAAAAADw+1NiugEAANvgQKf+fwAAEHaO+i0AAACpdo76LQAAALCq4Wu6AQAAAAAAAGR2AAgAAAAAJQAAAAwAAAAEAAAAGAAAAAwAAAAAAAAAEgAAAAwAAAABAAAAHgAAABgAAAApAAAAMwAAAKEAAABIAAAAJQAAAAwAAAAEAAAAVAAAAKwAAAAqAAAAMwAAAJ8AAABHAAAAAQAAAFUV1EET2tNBKgAAADMAAAAQAAAATAAAAAAAAAAAAAAAAAAAAP//////////bAAAAEcAaQB1AHMAZQBwAHAAZQAgAFMAYQB1AHIAaQBuAGkACwAAAAQAAAAJAAAABwAAAAgAAAAJAAAACQAAAAgAAAAEAAAACQAAAAgAAAAJAAAABgAAAAQAAAAJAAAABAAAAEsAAABAAAAAMAAAAAUAAAAgAAAAAQAAAAEAAAAQAAAAAAAAAAAAAAAfAQAAgAAAAAAAAAAAAAAAHwEAAIAAAAAlAAAADAAAAAIAAAAnAAAAGAAAAAUAAAAAAAAA////AAAAAAAlAAAADAAAAAUAAABMAAAAZAAAAAAAAABQAAAAHgEAAHwAAAAAAAAAUAAAAB8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BVFdRBE9rTQQoAAABQAAAAEAAAAEwAAAAAAAAAAAAAAAAAAAD//////////2wAAABHAGkAdQBzAGUAcABwAGUAIABTAGEAdQByAGkAbgBpAAgAAAADAAAABwAAAAUAAAAGAAAABwAAAAcAAAAGAAAAAwAAAAYAAAAGAAAABwAAAAQAAAADAAAABwAAAAMAAABLAAAAQAAAADAAAAAFAAAAIAAAAAEAAAABAAAAEAAAAAAAAAAAAAAAHwEAAIAAAAAAAAAAAAAAAB8BAACAAAAAJQAAAAwAAAACAAAAJwAAABgAAAAFAAAAAAAAAP///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/AAAAbAAAAAEAAABVFdRBE9rTQQoAAABgAAAACgAAAEwAAAAAAAAAAAAAAAAAAAD//////////2AAAABQAHIAZQBzAGkAZABlAG4AdABlAAYAAAAEAAAABgAAAAUAAAADAAAABwAAAAYAAAAHAAAABAAAAAYAAABLAAAAQAAAADAAAAAFAAAAIAAAAAEAAAABAAAAEAAAAAAAAAAAAAAAHwEAAIAAAAAAAAAAAAAAAB8BAACAAAAAJQAAAAwAAAACAAAAJwAAABgAAAAFAAAAAAAAAP///wAAAAAAJQAAAAwAAAAFAAAATAAAAGQAAAAJAAAAcAAAABUBAAB8AAAACQAAAHAAAAANAQAADQAAACEA8AAAAAAAAAAAAAAAgD8AAAAAAAAAAAAAgD8AAAAAAAAAAAAAAAAAAAAAAAAAAAAAAAAAAAAAAAAAACUAAAAMAAAAAAAAgCgAAAAMAAAABQAAACUAAAAMAAAAAQAAABgAAAAMAAAAAAAAABIAAAAMAAAAAQAAABYAAAAMAAAAAAAAAFQAAAB0AQAACgAAAHAAAAAUAQAAfAAAAAEAAABVFdRBE9rTQQoAAABwAAAAMQAAAEwAAAAEAAAACQAAAHAAAAAWAQAAfQAAALAAAABGAGkAcgBtAGEAZABvACAAcABvAHIAOgAgADUAYwA3ADAAMQBkADkAYQAtAGMAOABmADgALQA0ADcAZgA5AC0AYQA5ADEAZgAtADYAOQA1ADEAOABlADYAZQBmADIAYQBjAAAABgAAAAMAAAAEAAAACQAAAAYAAAAHAAAABwAAAAMAAAAHAAAABwAAAAQAAAADAAAAAwAAAAYAAAAFAAAABgAAAAYAAAAGAAAABwAAAAYAAAAGAAAABAAAAAUAAAAGAAAABAAAAAYAAAAEAAAABgAAAAYAAAAEAAAABgAAAAQAAAAGAAAABgAAAAYAAAAEAAAABAAAAAYAAAAGAAAABgAAAAYAAAAGAAAABgAAAAYAAAAGAAAABAAAAAYAAAAGAAAABQAAABYAAAAMAAAAAAAAACUAAAAMAAAAAgAAAA4AAAAUAAAAAAAAABAAAAAUAAAA</Object>
  <Object Id="idInvalidSigLnImg">AQAAAGwAAAAAAAAAAAAAAB4BAAB/AAAAAAAAAAAAAAC5HQAAPg0AACBFTUYAAAEAVCEAALEAAAAGAAAAAAAAAAAAAAAAAAAAgAcAADgEAAD9AQAAHgEAAAAAAAAAAAAAAAAAAEjEBwAwXQQACgAAABAAAAAAAAAAAAAAAEsAAAAQAAAAAAAAAAUAAAAeAAAAGAAAAAAAAAAAAAAAHwEAAIAAAAAnAAAAGAAAAAEAAAAAAAAAAAAAAAAAAAAlAAAADAAAAAEAAABMAAAAZAAAAAAAAAAAAAAAHgEAAH8AAAAAAAAAAAAAAB8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eAQAAfwAAAAAAAAAAAAAAHwEAAIAAAAAhAPAAAAAAAAAAAAAAAIA/AAAAAAAAAAAAAIA/AAAAAAAAAAAAAAAAAAAAAAAAAAAAAAAAAAAAAAAAAAAlAAAADAAAAAAAAIAoAAAADAAAAAEAAAAnAAAAGAAAAAEAAAAAAAAA8PDwAAAAAAAlAAAADAAAAAEAAABMAAAAZAAAAAAAAAAAAAAAHgEAAH8AAAAAAAAAAAAAAB8BAACAAAAAIQDwAAAAAAAAAAAAAACAPwAAAAAAAAAAAACAPwAAAAAAAAAAAAAAAAAAAAAAAAAAAAAAAAAAAAAAAAAAJQAAAAwAAAAAAACAKAAAAAwAAAABAAAAJwAAABgAAAABAAAAAAAAAPDw8AAAAAAAJQAAAAwAAAABAAAATAAAAGQAAAAAAAAAAAAAAB4BAAB/AAAAAAAAAAAAAAAfAQAAgAAAACEA8AAAAAAAAAAAAAAAgD8AAAAAAAAAAAAAgD8AAAAAAAAAAAAAAAAAAAAAAAAAAAAAAAAAAAAAAAAAACUAAAAMAAAAAAAAgCgAAAAMAAAAAQAAACcAAAAYAAAAAQAAAAAAAADw8PAAAAAAACUAAAAMAAAAAQAAAEwAAABkAAAAAAAAAAAAAAAeAQAAfwAAAAAAAAAAAAAAHwEAAIAAAAAhAPAAAAAAAAAAAAAAAIA/AAAAAAAAAAAAAIA/AAAAAAAAAAAAAAAAAAAAAAAAAAAAAAAAAAAAAAAAAAAlAAAADAAAAAAAAIAoAAAADAAAAAEAAAAnAAAAGAAAAAEAAAAAAAAA////AAAAAAAlAAAADAAAAAEAAABMAAAAZAAAAAAAAAAAAAAAHgEAAH8AAAAAAAAAAAAAAB8BAACAAAAAIQDwAAAAAAAAAAAAAACAPwAAAAAAAAAAAACAPwAAAAAAAAAAAAAAAAAAAAAAAAAAAAAAAAAAAAAAAAAAJQAAAAwAAAAAAACAKAAAAAwAAAABAAAAJwAAABgAAAABAAAAAAAAAP///wAAAAAAJQAAAAwAAAABAAAATAAAAGQAAAAAAAAAAAAAAB4BAAB/AAAAAAAAAAAAAAAf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CAAAAAAAAAA8FVJ/n8AAADwVUn+fwAAEwAAAAAAAAAAAPKo/n8AAA2/qEj+fwAAMBbyqP5/AAATAAAAAAAAAOAWAAAAAAAAQAAAwP5/AAAAAPKo/n8AANXBqEj+fwAABAAAAAAAAAAwFvKo/n8AAAC7j/otAAAAEwAAAAAAAABIAAAAAAAAAMwuOUn+fwAAkPNVSf5/AAAAMzlJ/n8AAAEAAAAAAAAAWFg5Sf5/AAAAAPKo/n8AAAAAAAAAAAAAAAAAAAAAAACguo/6LQAAAPD7U2K6AQAA2+BAp/5/AADQu4/6LQAAAGm8j/otAAAAAAAAAAAAAAAAAAAAZHYACAAAAAAlAAAADAAAAAEAAAAYAAAADAAAAP8AAAASAAAADAAAAAEAAAAeAAAAGAAAACIAAAAEAAAAcgAAABEAAAAlAAAADAAAAAEAAABUAAAAqAAAACMAAAAEAAAAcAAAABAAAAABAAAAVRXUQRPa00EjAAAABAAAAA8AAABMAAAAAAAAAAAAAAAAAAAA//////////9sAAAARgBpAHIAbQBhACAAbgBvACAAdgDhAGwAaQBkAGEAAAAGAAAAAwAAAAQAAAAJAAAABgAAAAMAAAAHAAAABwAAAAMAAAAFAAAABgAAAAMAAAADAAAABwAAAAYAAABLAAAAQAAAADAAAAAFAAAAIAAAAAEAAAABAAAAEAAAAAAAAAAAAAAAHwEAAIAAAAAAAAAAAAAAAB8BAACAAAAAUgAAAHABAAACAAAAEAAAAAcAAAAAAAAAAAAAALwCAAAAAAAAAQICIlMAeQBzAHQAZQBtAAAAAAAAAAAAAAAAAAAAAAAAAAAAAAAAAAAAAAAAAAAAAAAAAAAAAAAAAAAAAAAAAAAAAAAAAAAASMGoSP5/AAD4J476LQAAAAABAAAAAAAAiD5kp/5/AAAAAAAAAAAAAAkAAAAAAAAAuK6ucLoBAABIwahI/n8AAAAAAAAAAAAAAAAAAAAAAADRfbnZJboAAHgpjvotAAAAAAAAAAAAAAAguqZwugEAAPD7U2K6AQAAoCqO+gAAAAAAAAAAAAAAAAcAAAAAAAAAOG6ucLoBAADcKY76LQAAABkqjvotAAAAcc08p/5/AAABAAAAugEAAFAtjvoAAAAA8LWAJ8DiAAAAAAAAAAAAAPD7U2K6AQAA2+BAp/5/AACAKY76LQAAABkqjvotAAAAoMbmcLo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QnURI/n8AAHDNGHe6AQAAcM0YdwIAAACIPmSn/n8AAAAAAAAAAAAAmeuRR/5/AAAAAAAA/n8AAAAAAAAAAAAAAAAAAAAAAAAAAAAAAAAAAEEpudklugAAAAAAAAAAAABwzRh3ugEAAOD///8AAAAA8PtTYroBAAAodo76AAAAAAAAAAAAAAAABgAAAAAAAAAgAAAAAAAAAEx1jvotAAAAiXWO+i0AAABxzTyn/n8AAPB5jvotAAAAAAAAAAAAAAAQcWdrugEAALhhG0j+fwAA8PtTYroBAADb4ECn/n8AAPB0jvotAAAAiXWO+i0AAAAg3VtiugEAAAAAAABkdgAIAAAAACUAAAAMAAAAAwAAABgAAAAMAAAAAAAAABIAAAAMAAAAAQAAABYAAAAMAAAACAAAAFQAAABUAAAACgAAACcAAAAeAAAASgAAAAEAAABVFdRBE9rT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AAAHhyGUj+fwAAGueIR/5/AAAAfo76LQAAAIg+ZKf+fwAAAAAAAAAAAAAAAAAAAAAAAAB2GUj+fwAAcM0Yd7oBAAAAAAAAAAAAAAAAAAAAAAAAoSi52SW6AAD//////////+BXJGK6AQAA8P///wAAAADw+1NiugEAAEh3jvoAAAAAAAAAAAAAAAAJAAAAAAAAACAAAAAAAAAAbHaO+i0AAACpdo76LQAAAHHNPKf+fwAAAAAAAAAAAAAAAAAAAAAAAAAAAAAAAAAAAAAAAAAAAADw+1NiugEAANvgQKf+fwAAEHaO+i0AAACpdo76LQAAALCq4Wu6AQAAAAAAAGR2AAgAAAAAJQAAAAwAAAAEAAAAGAAAAAwAAAAAAAAAEgAAAAwAAAABAAAAHgAAABgAAAApAAAAMwAAAKEAAABIAAAAJQAAAAwAAAAEAAAAVAAAAKwAAAAqAAAAMwAAAJ8AAABHAAAAAQAAAFUV1EET2tNBKgAAADMAAAAQAAAATAAAAAAAAAAAAAAAAAAAAP//////////bAAAAEcAaQB1AHMAZQBwAHAAZQAgAFMAYQB1AHIAaQBuAGkACwAAAAQAAAAJAAAABwAAAAgAAAAJAAAACQAAAAgAAAAEAAAACQAAAAgAAAAJAAAABgAAAAQAAAAJAAAABAAAAEsAAABAAAAAMAAAAAUAAAAgAAAAAQAAAAEAAAAQAAAAAAAAAAAAAAAfAQAAgAAAAAAAAAAAAAAAHwEAAIAAAAAlAAAADAAAAAIAAAAnAAAAGAAAAAUAAAAAAAAA////AAAAAAAlAAAADAAAAAUAAABMAAAAZAAAAAAAAABQAAAAHgEAAHwAAAAAAAAAUAAAAB8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BVFdRBE9rTQQoAAABQAAAAEAAAAEwAAAAAAAAAAAAAAAAAAAD//////////2wAAABHAGkAdQBzAGUAcABwAGUAIABTAGEAdQByAGkAbgBpAAgAAAADAAAABwAAAAUAAAAGAAAABwAAAAcAAAAGAAAAAwAAAAYAAAAGAAAABwAAAAQAAAADAAAABwAAAAMAAABLAAAAQAAAADAAAAAFAAAAIAAAAAEAAAABAAAAEAAAAAAAAAAAAAAAHwEAAIAAAAAAAAAAAAAAAB8BAACAAAAAJQAAAAwAAAACAAAAJwAAABgAAAAFAAAAAAAAAP///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/AAAAbAAAAAEAAABVFdRBE9rTQQoAAABgAAAACgAAAEwAAAAAAAAAAAAAAAAAAAD//////////2AAAABQAHIAZQBzAGkAZABlAG4AdABlAAYAAAAEAAAABgAAAAUAAAADAAAABwAAAAYAAAAHAAAABAAAAAYAAABLAAAAQAAAADAAAAAFAAAAIAAAAAEAAAABAAAAEAAAAAAAAAAAAAAAHwEAAIAAAAAAAAAAAAAAAB8BAACAAAAAJQAAAAwAAAACAAAAJwAAABgAAAAFAAAAAAAAAP///wAAAAAAJQAAAAwAAAAFAAAATAAAAGQAAAAJAAAAcAAAABUBAAB8AAAACQAAAHAAAAANAQAADQAAACEA8AAAAAAAAAAAAAAAgD8AAAAAAAAAAAAAgD8AAAAAAAAAAAAAAAAAAAAAAAAAAAAAAAAAAAAAAAAAACUAAAAMAAAAAAAAgCgAAAAMAAAABQAAACUAAAAMAAAAAQAAABgAAAAMAAAAAAAAABIAAAAMAAAAAQAAABYAAAAMAAAAAAAAAFQAAAB0AQAACgAAAHAAAAAUAQAAfAAAAAEAAABVFdRBE9rTQQoAAABwAAAAMQAAAEwAAAAEAAAACQAAAHAAAAAWAQAAfQAAALAAAABGAGkAcgBtAGEAZABvACAAcABvAHIAOgAgADUAYwA3ADAAMQBkADkAYQAtAGMAOABmADgALQA0ADcAZgA5AC0AYQA5ADEAZgAtADYAOQA1ADEAOABlADYAZQBmADIAYQBjAAAABgAAAAMAAAAEAAAACQAAAAYAAAAHAAAABwAAAAMAAAAHAAAABwAAAAQAAAADAAAAAwAAAAYAAAAFAAAABgAAAAYAAAAGAAAABwAAAAYAAAAGAAAABAAAAAUAAAAGAAAABAAAAAYAAAAEAAAABgAAAAYAAAAEAAAABgAAAAQAAAAGAAAABgAAAAYAAAAEAAAABAAAAAYAAAAGAAAABgAAAAYAAAAGAAAABgAAAAYAAAAGAAAABAAAAAYAAAAGAAAABQAAABYAAAAMAAAAAAAAACUAAAAMAAAAAgAAAA4AAAAUAAAAAAAAABAAAAAUAAAA</Object>
</Signature>
</file>

<file path=_xmlsignatures/sig5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NilQZpElCOT3yYaQYjMaAanjnHokBrDw2Ah1PJ0FTIo=</DigestValue>
    </Reference>
    <Reference Type="http://www.w3.org/2000/09/xmldsig#Object" URI="#idOfficeObject">
      <DigestMethod Algorithm="http://www.w3.org/2001/04/xmlenc#sha256"/>
      <DigestValue>gyv4GHObvqXAmBIBNfaPRKKqCsE1KX4QnNnhHPpfk+o=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GLk01VQSx5QIrYtWM5yEIt+/2FZhAL8jCyGcr5ubUhw=</DigestValue>
    </Reference>
    <Reference Type="http://www.w3.org/2000/09/xmldsig#Object" URI="#idValidSigLnImg">
      <DigestMethod Algorithm="http://www.w3.org/2001/04/xmlenc#sha256"/>
      <DigestValue>tkM+9QSyBM997HsvAFcLQ7vaQECCFu0C//lWbbSiRBs=</DigestValue>
    </Reference>
    <Reference Type="http://www.w3.org/2000/09/xmldsig#Object" URI="#idInvalidSigLnImg">
      <DigestMethod Algorithm="http://www.w3.org/2001/04/xmlenc#sha256"/>
      <DigestValue>hQqSKXjkij7v27YfzynWSg+M3KNCdTs1x3mS7IbQoPk=</DigestValue>
    </Reference>
  </SignedInfo>
  <SignatureValue>16c934Zi6A9+khIADvdBAVs6mKRqagHektyXZtI4vQAHGmodpi8kw2bKg6UOXQlPxFOjIBznnUfu
sjdJMFd3zIDeTzvku+igyZ00jOeBgm4Io75GgIKzoFt2N8MkEf7htOJM7sEahJnbE7AQs0UxHsPn
+e6c9wtM+sjs+Np0P2F/qehv0t3s3m1XXiMbd/yPBjC+AcN4VagiHDBkv5Y0DX8lmJ4+HDBnwG/h
0gzLvnRyXyPndGRpa4mRsS6eGxdb+fENzBsv1lm3GuqG07LQpx5VnDkYRJIbchkNDN8f0zVm2v7A
9qReeS1pN1yLu8qaGCqroVJlIoZKEZwnKwnD/A==</SignatureValue>
  <KeyInfo>
    <X509Data>
      <X509Certificate>MIIIeDCCBmCgAwIBAgIIMS6DM34hZtswDQYJKoZIhvcNAQELBQAwWjEaMBgGA1UEAwwRQ0EtRE9DVU1FTlRBIFMuQS4xFjAUBgNVBAUTDVJVQzgwMDUwMTcyLTExFzAVBgNVBAoMDkRPQ1VNRU5UQSBTLkEuMQswCQYDVQQGEwJQWTAeFw0yMzAzMzExOTE3MDBaFw0yNTAzMzAxOTE3MDBaMIGnMRowGAYDVQQDDBFTQURZIFNNSUQgUEVSRUlSQTESMBAGA1UEBRMJQ0kxNTQ3OTU4MRIwEAYDVQQqDAlTQURZIFNNSUQxEDAOBgNVBAQMB1BFUkVJUkExCzAJBgNVBAsMAkYyMTUwMwYDVQQKDCxDRVJUSUZJQ0FETyBDVUFMSUZJQ0FETyBERSBGSVJNQSBFTEVDVFJPTklDQTELMAkGA1UEBhMCUFkwggEiMA0GCSqGSIb3DQEBAQUAA4IBDwAwggEKAoIBAQDcv4jg9UQVYMQW3nTZbudZmlc3d7ZDhKC++1NiAFDou0FCci5HIYOxzaqCq2awvXcrPdy+yXZ9Vhn4m0pUDGiuhWEc9LCnE39ip/FGpYATj0qTlPY2JbKwxPQq/9M4c3uairv4Jsv8SC26mhfnQ5NAVEe8BoH1jB2/45RBbHELV3pCZXGUb7SI1tqh4HzVsmfyZkuGazTBUAI2CwR4u3gRS6j0q3HuK5Qe2Ysa34BGgYkoY2vWKGfLpUeij4uVPaAPAIEVCdfC2FSAFsMfe6vkk3pLs311J0x3+QAVWCmth70T/b3EiGpOcMAyl7+wHKjs75LOqrlgWQOvYIi/rUXXAgMBAAGjggPyMIID7jAMBgNVHRMBAf8EAjAAMB8GA1UdIwQYMBaAFKE9hSvN2CyWHzkCDJ9TO1jYlQt7MIGUBggrBgEFBQcBAQSBhzCBhDBVBggrBgEFBQcwAoZJaHR0cHM6Ly93d3cuZGlnaXRvLmNvbS5weS91cGxvYWRzL2NlcnRpZmljYWRvLWRvY3VtZW50YS1zYS0xNTM1MTE3NzcxLmNydDArBggrBgEFBQcwAYYfaHR0cHM6Ly93d3cuZGlnaXRvLmNvbS5weS9vY3NwLzBVBgNVHREETjBMgR5zYWR5LnBlcmVpcmFAaW5wb3NpdGl2YS5jb20ucHmkKjAoMSYwJAYDVQQNDB1GSVJNQSBFTEVDVFJPTklDQSBDVUFMSUZJQ0FEQTCCAfUGA1UdIASCAewwggHoMIIB5AYNKwYBBAGC+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/BCAwHgYIKwYBBQUHAwIGCCsGAQUFBwMEBggrBgEFBQcDATB7BgNVHR8EdDByMDSgMqAwhi5odHRwczovL3d3dy5kaWdpdG8uY29tLnB5L2NybC9kb2N1bWVudGFfY2EuY3JsMDqgOKA2hjRodHRwczovL3d3dy5kb2N1bWVudGEuY29tLnB5L2RpZ2l0by9kb2N1bWVudGFfY2EuY3JsMB0GA1UdDgQWBBQQKzMg1tda9/gvYWPq+p2XbNk27DAOBgNVHQ8BAf8EBAMCBeAwDQYJKoZIhvcNAQELBQADggIBAHontLGuu9Ch1UJ+wEl3kVVKHj02tuHmGtakXsQ1uBtkJXIQeSPa6cwovoWksYUL8aL2tEskLbxoT9OPhkPR/XQt4Lsvd8A7CbMfasQclS8dFt7nHkGMIUfPewGyRifAUXSzcCqNChoIpr0M+j0p5ZCc9vQEeeT4x4Z12DB2YqVLM5EjtCOUumILB8E333S2Zy3HmWXwqbCLpjIl6ANZ6t6SKFuQP9YUftVHgP4HIbW3Mg+q0q69z7++isI0MDCkAP8GLZ75OePNzkdKSCh4cSxUYdpugnGeLBFkY6TpsksH9zPXgpGfJ2301bEvAcOnKRifNdwqLS3Du/qpl2GHh5HPn6nhf/aNIm/E/HIqhk3e5EsaLthc1t1c7RnFymp4DyY/Xrq7u40wdIrrfzHVNBO8YNiwXJczNt9P53V/Lo3JDHUgLP7SHwvcObBBKeuO+bpxHgDpXPjJj+ZP9GCkO69dBHL/Ehj+YUiepdJMcviX2KO28B7jUxXt60Q1yVR7yjzueZBZINbnyXrn9f7M84t7P1Ik9kp0dN6cS62ZM4bMBxuHQ3aGh5Shsg/yEkTSw4kkxYxoMyiWfLSOXrhhyuET2KgpcWlmWfpj3FCffhR+cE02JweXOsXdLArvWaToBUadap8KY7pzztPMXJ83aPFpF8Q2VMkx2eUcpneJ16X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Txt1swa/bPIPmFGsZWwoEndhraiRbq1VVTVPE31ObWk=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7A6vZ7zkPzS9u46vAbI0CTdJK407ShiI7XQz2/JE+gs=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H6D/PCqqbYO40jDHb2D60Vt9hQ8U6OvF/s+CNSTog8o=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evLzBN/FKF+HS74Qdv10+CU1JQPXeHwtofEfP2sc0e4=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1SMfItI0vYaOoxDr33zyeI18EyQM+MTbv/d4PxzVhR0=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nssU7vY2dcgKUywGNl98M7XIzTEEKx7epX16+hDrUm0=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Sq09IcEMc0OyzgElN/R1RheQxt7xNWTgUQttKfEduUs=</DigestValue>
      </Reference>
      <Reference URI="/xl/media/image4.emf?ContentType=image/x-emf">
        <DigestMethod Algorithm="http://www.w3.org/2001/04/xmlenc#sha256"/>
        <DigestValue>wmvosK7xqarfhHlwSFGOmbuO/WXD+DNMn6W3Rzlq2vQ=</DigestValue>
      </Reference>
      <Reference URI="/xl/media/image5.emf?ContentType=image/x-emf">
        <DigestMethod Algorithm="http://www.w3.org/2001/04/xmlenc#sha256"/>
        <DigestValue>SajtG0SrrgZO+/SQQjUSz4mu/+kEKHoUrqYBPgf5Pyc=</DigestValue>
      </Reference>
      <Reference URI="/xl/media/image6.emf?ContentType=image/x-emf">
        <DigestMethod Algorithm="http://www.w3.org/2001/04/xmlenc#sha256"/>
        <DigestValue>heVTmAkJu6KE6RXpg5JxJt+jc4lqqmOk7wLsVG+IsnY=</DigestValue>
      </Reference>
      <Reference URI="/xl/media/image7.emf?ContentType=image/x-emf">
        <DigestMethod Algorithm="http://www.w3.org/2001/04/xmlenc#sha256"/>
        <DigestValue>1sJlwwPNAt/2mQzkWmCygQusDTo5RoAZBtmEcvsd2JQ=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adxJ+eSKsW+DPP/SKAaVGn4zwFM7hfPbcP2IwB7CIyE=</DigestValue>
      </Reference>
      <Reference URI="/xl/styles.xml?ContentType=application/vnd.openxmlformats-officedocument.spreadsheetml.styles+xml">
        <DigestMethod Algorithm="http://www.w3.org/2001/04/xmlenc#sha256"/>
        <DigestValue>aIvTIpW8AgNqkQSB0s7bTzkGEvmQPJyFclxeUbSQXxE=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Xhxj+hmEuNaR5TGDgl61vYddmFEr/TjYYkvvDl52+DI=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1hwWLEcX7cD0rekfAruNsbip83VGHwMp3VxnZ1/0Y+I=</DigestValue>
      </Reference>
      <Reference URI="/xl/worksheets/sheet10.xml?ContentType=application/vnd.openxmlformats-officedocument.spreadsheetml.worksheet+xml">
        <DigestMethod Algorithm="http://www.w3.org/2001/04/xmlenc#sha256"/>
        <DigestValue>v/gRmh4SCcAu3htqv7sgQ6haygYiTtWtZ2+mr/crc4s=</DigestValue>
      </Reference>
      <Reference URI="/xl/worksheets/sheet11.xml?ContentType=application/vnd.openxmlformats-officedocument.spreadsheetml.worksheet+xml">
        <DigestMethod Algorithm="http://www.w3.org/2001/04/xmlenc#sha256"/>
        <DigestValue>9VQodMfmu8Vcrdekv2CPImNTEbzTCJW9jtcOO0RR6Dc=</DigestValue>
      </Reference>
      <Reference URI="/xl/worksheets/sheet12.xml?ContentType=application/vnd.openxmlformats-officedocument.spreadsheetml.worksheet+xml">
        <DigestMethod Algorithm="http://www.w3.org/2001/04/xmlenc#sha256"/>
        <DigestValue>xLI9lf9BkDNiFdzYWLvPqF8yWgWUNkPJEoSzkkhKg2Q=</DigestValue>
      </Reference>
      <Reference URI="/xl/worksheets/sheet13.xml?ContentType=application/vnd.openxmlformats-officedocument.spreadsheetml.worksheet+xml">
        <DigestMethod Algorithm="http://www.w3.org/2001/04/xmlenc#sha256"/>
        <DigestValue>6hbqnHkTRCApBH1OciO9EC5+iQ5v982YBVC+cRWqRg0=</DigestValue>
      </Reference>
      <Reference URI="/xl/worksheets/sheet14.xml?ContentType=application/vnd.openxmlformats-officedocument.spreadsheetml.worksheet+xml">
        <DigestMethod Algorithm="http://www.w3.org/2001/04/xmlenc#sha256"/>
        <DigestValue>zjCWDBsS7BNtu76wLeNxkFrpZFjovbZjObdei6OnZj4=</DigestValue>
      </Reference>
      <Reference URI="/xl/worksheets/sheet15.xml?ContentType=application/vnd.openxmlformats-officedocument.spreadsheetml.worksheet+xml">
        <DigestMethod Algorithm="http://www.w3.org/2001/04/xmlenc#sha256"/>
        <DigestValue>QDBmI1RTHobKhxdAQ06Rdo5SsHHuKpRZJOATMX4Ykgo=</DigestValue>
      </Reference>
      <Reference URI="/xl/worksheets/sheet16.xml?ContentType=application/vnd.openxmlformats-officedocument.spreadsheetml.worksheet+xml">
        <DigestMethod Algorithm="http://www.w3.org/2001/04/xmlenc#sha256"/>
        <DigestValue>+hl/X2W4jcYy6Mv5SgtKF6moSWvg17CdBOIOps3i65A=</DigestValue>
      </Reference>
      <Reference URI="/xl/worksheets/sheet17.xml?ContentType=application/vnd.openxmlformats-officedocument.spreadsheetml.worksheet+xml">
        <DigestMethod Algorithm="http://www.w3.org/2001/04/xmlenc#sha256"/>
        <DigestValue>BFSVGHg+rMt3YkfjgHB2LXx5PX+UPOO7g6XjKMTu1q4=</DigestValue>
      </Reference>
      <Reference URI="/xl/worksheets/sheet18.xml?ContentType=application/vnd.openxmlformats-officedocument.spreadsheetml.worksheet+xml">
        <DigestMethod Algorithm="http://www.w3.org/2001/04/xmlenc#sha256"/>
        <DigestValue>/BMAwicYNpxTY+aTUIU9o2Wdi95Sx1agDXfnir0+Jhg=</DigestValue>
      </Reference>
      <Reference URI="/xl/worksheets/sheet19.xml?ContentType=application/vnd.openxmlformats-officedocument.spreadsheetml.worksheet+xml">
        <DigestMethod Algorithm="http://www.w3.org/2001/04/xmlenc#sha256"/>
        <DigestValue>Q0+1dEbtfLreLZRH9tXLoWeRSrCWP6Da/xjfQUl8m64=</DigestValue>
      </Reference>
      <Reference URI="/xl/worksheets/sheet2.xml?ContentType=application/vnd.openxmlformats-officedocument.spreadsheetml.worksheet+xml">
        <DigestMethod Algorithm="http://www.w3.org/2001/04/xmlenc#sha256"/>
        <DigestValue>UIYZcsLNyVa4Zwau7I/a/9FlDqrIDZGG/Qt6KUY13EE=</DigestValue>
      </Reference>
      <Reference URI="/xl/worksheets/sheet20.xml?ContentType=application/vnd.openxmlformats-officedocument.spreadsheetml.worksheet+xml">
        <DigestMethod Algorithm="http://www.w3.org/2001/04/xmlenc#sha256"/>
        <DigestValue>QKHoE/8nVrAZ+4UkvJBa1d5kRm7hnevMc3ZsYFzjelU=</DigestValue>
      </Reference>
      <Reference URI="/xl/worksheets/sheet21.xml?ContentType=application/vnd.openxmlformats-officedocument.spreadsheetml.worksheet+xml">
        <DigestMethod Algorithm="http://www.w3.org/2001/04/xmlenc#sha256"/>
        <DigestValue>hrRapHiIYV1uIGIC4UrpmuRKIGOme/aCXvORWI34UbY=</DigestValue>
      </Reference>
      <Reference URI="/xl/worksheets/sheet22.xml?ContentType=application/vnd.openxmlformats-officedocument.spreadsheetml.worksheet+xml">
        <DigestMethod Algorithm="http://www.w3.org/2001/04/xmlenc#sha256"/>
        <DigestValue>S4qVXHTeJzITQ1JsBlKYurfobEsMcce0lM1ogNDvXHA=</DigestValue>
      </Reference>
      <Reference URI="/xl/worksheets/sheet23.xml?ContentType=application/vnd.openxmlformats-officedocument.spreadsheetml.worksheet+xml">
        <DigestMethod Algorithm="http://www.w3.org/2001/04/xmlenc#sha256"/>
        <DigestValue>OdJpmRtCY0g6/ug8JEfIayR/5Ns0oGJ3viNcFcoUD/c=</DigestValue>
      </Reference>
      <Reference URI="/xl/worksheets/sheet24.xml?ContentType=application/vnd.openxmlformats-officedocument.spreadsheetml.worksheet+xml">
        <DigestMethod Algorithm="http://www.w3.org/2001/04/xmlenc#sha256"/>
        <DigestValue>TYibDELu7n9uikLQC/GIO8uv3+jWTBD3yS3EjSjwCwA=</DigestValue>
      </Reference>
      <Reference URI="/xl/worksheets/sheet25.xml?ContentType=application/vnd.openxmlformats-officedocument.spreadsheetml.worksheet+xml">
        <DigestMethod Algorithm="http://www.w3.org/2001/04/xmlenc#sha256"/>
        <DigestValue>XKBsHhXIgdIDmbRO8AdjcLgL2sWSOvTqmn/PPAJ4LBo=</DigestValue>
      </Reference>
      <Reference URI="/xl/worksheets/sheet26.xml?ContentType=application/vnd.openxmlformats-officedocument.spreadsheetml.worksheet+xml">
        <DigestMethod Algorithm="http://www.w3.org/2001/04/xmlenc#sha256"/>
        <DigestValue>74D08+DZbMT4/Wn678Zm6qCkpwxbJuSWJKCGy+GEw04=</DigestValue>
      </Reference>
      <Reference URI="/xl/worksheets/sheet27.xml?ContentType=application/vnd.openxmlformats-officedocument.spreadsheetml.worksheet+xml">
        <DigestMethod Algorithm="http://www.w3.org/2001/04/xmlenc#sha256"/>
        <DigestValue>Cfi0OWEFMymWbvMu4avCwrIV8IiCXzC40hXop+enj/Q=</DigestValue>
      </Reference>
      <Reference URI="/xl/worksheets/sheet28.xml?ContentType=application/vnd.openxmlformats-officedocument.spreadsheetml.worksheet+xml">
        <DigestMethod Algorithm="http://www.w3.org/2001/04/xmlenc#sha256"/>
        <DigestValue>UeJ4olSuoCNC8jeOzuCdhVnduOKEWyzzcB6ySqUtrSs=</DigestValue>
      </Reference>
      <Reference URI="/xl/worksheets/sheet29.xml?ContentType=application/vnd.openxmlformats-officedocument.spreadsheetml.worksheet+xml">
        <DigestMethod Algorithm="http://www.w3.org/2001/04/xmlenc#sha256"/>
        <DigestValue>nkf7adUXD5WM47nbV6L3Lfa7TdYO9hIM8hDL5FVqrxU=</DigestValue>
      </Reference>
      <Reference URI="/xl/worksheets/sheet3.xml?ContentType=application/vnd.openxmlformats-officedocument.spreadsheetml.worksheet+xml">
        <DigestMethod Algorithm="http://www.w3.org/2001/04/xmlenc#sha256"/>
        <DigestValue>wK0GnEeR1Zt1FXFUVHCueEz4gHjkTtiqU9O8+qCbEsc=</DigestValue>
      </Reference>
      <Reference URI="/xl/worksheets/sheet30.xml?ContentType=application/vnd.openxmlformats-officedocument.spreadsheetml.worksheet+xml">
        <DigestMethod Algorithm="http://www.w3.org/2001/04/xmlenc#sha256"/>
        <DigestValue>nXun5/s07xUAOHP563CUzDVy1wu5a6ZM8IQQRG2ZNwQ=</DigestValue>
      </Reference>
      <Reference URI="/xl/worksheets/sheet4.xml?ContentType=application/vnd.openxmlformats-officedocument.spreadsheetml.worksheet+xml">
        <DigestMethod Algorithm="http://www.w3.org/2001/04/xmlenc#sha256"/>
        <DigestValue>rcoSLjnQQUJhQEWDyIvHPI+h77kZkXakilSAlHeFrNo=</DigestValue>
      </Reference>
      <Reference URI="/xl/worksheets/sheet5.xml?ContentType=application/vnd.openxmlformats-officedocument.spreadsheetml.worksheet+xml">
        <DigestMethod Algorithm="http://www.w3.org/2001/04/xmlenc#sha256"/>
        <DigestValue>J+7R/RvsD5RAs0T76O3FXbfL/U56PvnGhTbhbPa9DYI=</DigestValue>
      </Reference>
      <Reference URI="/xl/worksheets/sheet6.xml?ContentType=application/vnd.openxmlformats-officedocument.spreadsheetml.worksheet+xml">
        <DigestMethod Algorithm="http://www.w3.org/2001/04/xmlenc#sha256"/>
        <DigestValue>RV8E4qJTwm2rMjLII0QqiNXTa0Gi16y1YfOSBkE6MDY=</DigestValue>
      </Reference>
      <Reference URI="/xl/worksheets/sheet7.xml?ContentType=application/vnd.openxmlformats-officedocument.spreadsheetml.worksheet+xml">
        <DigestMethod Algorithm="http://www.w3.org/2001/04/xmlenc#sha256"/>
        <DigestValue>ygF30QmTMcnJaTZIg81yM51bJSTuRruSRIuM8xBFQ4w=</DigestValue>
      </Reference>
      <Reference URI="/xl/worksheets/sheet8.xml?ContentType=application/vnd.openxmlformats-officedocument.spreadsheetml.worksheet+xml">
        <DigestMethod Algorithm="http://www.w3.org/2001/04/xmlenc#sha256"/>
        <DigestValue>0ShdXNv9ineY57NCPjKbDXHgr6p2GOOpxmA8miO6TkQ=</DigestValue>
      </Reference>
      <Reference URI="/xl/worksheets/sheet9.xml?ContentType=application/vnd.openxmlformats-officedocument.spreadsheetml.worksheet+xml">
        <DigestMethod Algorithm="http://www.w3.org/2001/04/xmlenc#sha256"/>
        <DigestValue>QSNZ1PjBfXBcw1TCpls5TJNDjkDetvZnm7RqoiZVKpo=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2023-03-31T21:23:27Z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{C87A10B5-6258-4160-89A5-F70363474647}</SetupID>
          <SignatureText>Lic. Sady Pereira</SignatureText>
          <SignatureImage/>
          <SignatureComments/>
          <WindowsVersion>10.0</WindowsVersion>
          <OfficeVersion>16.0.16130/24</OfficeVersion>
          <ApplicationVersion>16.0.16130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2023-03-31T21:23:27Z</xd:SigningTime>
          <xd:SigningCertificate>
            <xd:Cert>
              <xd:CertDigest>
                <DigestMethod Algorithm="http://www.w3.org/2001/04/xmlenc#sha256"/>
                <DigestValue>h/KlxldD+181n4MS73/HPbuMmfour1nhJ1WK75hA0aE=</DigestValue>
              </xd:CertDigest>
              <xd:IssuerSerial>
                <X509IssuerName>C=PY, O=DOCUMENTA S.A., SERIALNUMBER=RUC80050172-1, CN=CA-DOCUMENTA S.A.</X509IssuerName>
                <X509SerialNumber>3543914213969848027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TCCBYGgAwIBAgIQCW5/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+s/MkP5/7vBdKTalpVuJKggjvK+SKk4QCRMaI8d/trFQwm06NftPXfOROzHVNx1s7pBSC0/2L5K3hndwizt8Ps2BHzPQRExvzwjjF3FWhuN0LRA+jFSHzHwoYryoSzs4wnoV+HHLNP9ytDHa0GCQu2NsKH7W/MvrDFMS4ASyKnryeeVc+DXg8nELxojWtdnOoZ2q3914KqTI8KO3XeEaVS+uR++oKjZeMlBuobybgMfTZQajV6pLaZ/F8qj080yHl5AGdTB0IP9OeOMzGtT6fSEDDsFY3AjYzmqz/y6Aj6CRd1GN2KY9juoDm/UPn1URxja+NX2PLZwBC3W71VQAEyYYNDC5WLF1vxGi5jNKg29Cj4PuXL7Ru8mWtrerdMrjC9ij0El6AO5HLvkJhwNcw4qEy0XrvM6arll0TNrpqsdano78OJJzqnYw58JsA85fU0AhsLrQVJOqyIFkqo1uWbBheTnKyJphiz4dO2xvjNZ5ce3vTBn4rS0cLuS3bnPJKntUiEowB9QSqfkYH5Vlnq2H29DizDeyJLemGq5IOppLBIDkDj7Gicpt4/lc5YsK8dMxZ9baIBEqW3z2buRXG3AgMBAAGjggJEMIICQDASBgNVHRMBAf8ECDAGAQH/AgEAMA4GA1UdDwEB/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VRaVKkIUApSs+vKLRZgG/umJSryJ7+PJf88ls2R4V/XCyn7tFE7yvUtCDKGFtpHDJUUsb7cvQo2mbEIhG91IIlIgW3CLOK99rZ870o7D681L+8eCsX+G/HelrxUuAA6JvIzr4wNrRotuMxbXxUjmqoRatSAE4kqlWqgd6b7LhUz5nWuEhtwp2ykXaZJVmi6u8FaOtlgEpGmHdwsFSqvxumK2YvVYMV9UBWqsC8r2lrYqoXxypBCnP1huF45U6Nw2qdge8mi3SINPBGfo4Gs7RiIH0PFqYXL0kAnx/3Q0oERRLMO8PkzFRrhJ4dciLMSd8pUPqLBB+fwuu6IB4iGfcL8HFDnORptePhwmrKj/7Zk1EyT914N7GMaXr10Jz3MHmlEXx7D2s6J2fHAHufrE5EQ4cuIbNiYcR/yAwXpk5ymk2lNAiaA2HUwsZJVnE15P41YUt6z9s1qcSabQHSNKQ6Nig4nPvKWJUCS9HsYko/rNYwBymbJ7vGL/e9O6/Of+yVr+buxRU1GM8soizyYGTKESkrZBwOQbF+31D9pjh7xaX/hfM2Gy58IRiCCmS74e8jV9yBDTc/6vvzH6iYRUz8GFtrZGxVtjjYYqAPw836rxvV5VW+u4aMskF0N5F8fIssqgBZ8jaHD7+bIM1groggaKN7OKsCvtctxQiljPJcc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OwsAACBFTUYAAAEAXBsAAKoAAAAGAAAAAAAAAAAAAAAAAAAAgAcAADgEAABYAQAAwgAAAAAAAAAAAAAAAAAAAMA/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UAAAAFAAAAMQEAABUAAAD1AAAABQAAAD0AAAARAAAAIQDwAAAAAAAAAAAAAACAPwAAAAAAAAAAAACAPwAAAAAAAAAAAAAAAAAAAAAAAAAAAAAAAAAAAAAAAAAAJQAAAAwAAAAAAACAKAAAAAwAAAABAAAAUgAAAHABAAABAAAA8/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//////////9gAAAAMwAxAC8AMwAvADIAMAAyADM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HJ6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L0AAABWAAAAMAAAADsAAACOAAAAHAAAACEA8AAAAAAAAAAAAAAAgD8AAAAAAAAAAAAAgD8AAAAAAAAAAAAAAAAAAAAAAAAAAAAAAAAAAAAAAAAAACUAAAAMAAAAAAAAgCgAAAAMAAAABAAAAFIAAABwAQAABAAAAOz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L4AAABXAAAAJQAAAAwAAAAEAAAAVAAAALQAAAAxAAAAOwAAALwAAABWAAAAAQAAAFVVj0EmtI9BMQAAADsAAAARAAAATAAAAAAAAAAAAAAAAAAAAP//////////cAAAAEwAaQBjAC4AIABTAGEAZAB5ACAAUABlAHIAZQBpAHIAYQAEAwkAAAAFAAAACQAAAAQAAAAFAAAACwAAAAoAAAAMAAAACgAAAAUAAAALAAAACgAAAAcAAAAKAAAABQAAAAcAAAAKAAAASwAAAEAAAAAwAAAABQAAACAAAAABAAAAAQAAABAAAAAAAAAAAAAAAEABAACgAAAAAAAAAAAAAABAAQAAoAAAACUAAAAMAAAAAgAAACcAAAAYAAAABQAAAAAAAAD///8AAAAAACUAAAAMAAAABQAAAEwAAABkAAAAAAAAAGEAAAA/AQAAmwAAAAAAAABhAAAAQAEAADsAAAAhAPAAAAAAAAAAAAAAAIA/AAAAAAAAAAAAAIA/AAAAAAAAAAAAAAAAAAAAAAAAAAAAAAAAAAAAAAAAAAAlAAAADAAAAAAAAIAoAAAADAAAAAUAAAAnAAAAGAAAAAUAAAAAAAAA////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QAAAAPAAAAYQAAAFcAAABxAAAAAQAAAFVVj0EmtI9BDwAAAGEAAAAMAAAATAAAAAAAAAAAAAAAAAAAAP//////////ZAAAAFMAYQBkAHkAIABQAGUAcgBlAGkAcgBhAAcAAAAHAAAACAAAAAYAAAAEAAAABwAAAAcAAAAFAAAABwAAAAMAAAAFAAAABwAAAEsAAABAAAAAMAAAAAUAAAAgAAAAAQAAAAEAAAAQAAAAAAAAAAAAAABAAQAAoAAAAAAAAAAAAAAAQAEAAKAAAAAlAAAADAAAAAIAAAAnAAAAGAAAAAUAAAAAAAAA////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EmtI9BDwAAAHYAAAAJAAAATAAAAAAAAAAAAAAAAAAAAP//////////YAAAAEMAbwBuAHQAYQBkAG8AcgBhAPz1CAAAAAgAAAAHAAAABAAAAAcAAAAIAAAACAAAAAUAAAAHAAAASwAAAEAAAAAwAAAABQAAACAAAAABAAAAAQAAABAAAAAAAAAAAAAAAEABAACgAAAAAAAAAAAAAABAAQAAoAAAACUAAAAMAAAAAgAAACcAAAAYAAAABQAAAAAAAAD///8AAAAAACUAAAAMAAAABQAAAEwAAABkAAAADgAAAIsAAADVAAAAmwAAAA4AAACLAAAAyAAAABEAAAAhAPAAAAAAAAAAAAAAAIA/AAAAAAAAAAAAAIA/AAAAAAAAAAAAAAAAAAAAAAAAAAAAAAAAAAAAAAAAAAAlAAAADAAAAAAAAIAoAAAADAAAAAUAAAAlAAAADAAAAAEAAAAYAAAADAAAAAAAAAASAAAADAAAAAEAAAAWAAAADAAAAAAAAABUAAAAAAEAAA8AAACLAAAA1AAAAJsAAAABAAAAVVWPQSa0j0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=</Object>
  <Object Id="idInvalidSigLnImg">AQAAAGwAAAAAAAAAAAAAAD8BAACfAAAAAAAAAAAAAABmFgAAOwsAACBFTUYAAAEA3CEAALEAAAAGAAAAAAAAAAAAAAAAAAAAgAcAADgEAABYAQAAwgAAAAAAAAAAAAAAAAAAAMA/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/wAAABIAAAAMAAAAAQAAAB4AAAAYAAAAMAAAAAUAAACLAAAAFgAAACUAAAAMAAAAAQAAAFQAAACoAAAAMQAAAAUAAACJAAAAFQAAAAEAAABVVY9BJrSPQTEAAAAFAAAADwAAAEwAAAAAAAAAAAAAAAAAAAD//////////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//8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vQAAAFYAAAAwAAAAOwAAAI4AAAAcAAAAIQDwAAAAAAAAAAAAAACAPwAAAAAAAAAAAACAPwAAAAAAAAAAAAAAAAAAAAAAAAAAAAAAAAAAAAAAAAAAJQAAAAwAAAAAAACAKAAAAAwAAAAEAAAAUgAAAHABAAAEAAAA7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vgAAAFcAAAAlAAAADAAAAAQAAABUAAAAtAAAADEAAAA7AAAAvAAAAFYAAAABAAAAVVWPQSa0j0ExAAAAOwAAABEAAABMAAAAAAAAAAAAAAAAAAAA//////////9wAAAATABpAGMALgAgAFMAYQBkAHkAIABQAGUAcgBlAGkAcgBhAAAACQAAAAUAAAAJAAAABAAAAAUAAAALAAAACgAAAAwAAAAKAAAABQAAAAsAAAAKAAAABwAAAAoAAAAFAAAABwAAAAoAAABLAAAAQAAAADAAAAAFAAAAIAAAAAEAAAABAAAAEAAAAAAAAAAAAAAAQAEAAKAAAAAAAAAAAAAAAEABAACgAAAAJQAAAAwAAAACAAAAJwAAABgAAAAFAAAAAAAAAP///wAAAAAAJQAAAAwAAAAFAAAATAAAAGQAAAAAAAAAYQAAAD8BAACbAAAAAAAAAGEAAABAAQAAOwAAACEA8AAAAAAAAAAAAAAAgD8AAAAAAAAAAAAAgD8AAAAAAAAAAAAAAAAAAAAAAAAAAAAAAAAAAAAAAAAAACUAAAAMAAAAAAAAgCgAAAAMAAAABQAAACcAAAAYAAAABQAAAAAAAAD///8AAAAAACUAAAAMAAAABQAAAEwAAABkAAAADgAAAGEAAAAxAQAAcQAAAA4AAABhAAAAJAEAABEAAAAhAPAAAAAAAAAAAAAAAIA/AAAAAAAAAAAAAIA/AAAAAAAAAAAAAAAAAAAAAAAAAAAAAAAAAAAAAAAAAAAlAAAADAAAAAAAAIAoAAAADAAAAAUAAAAlAAAADAAAAAEAAAAYAAAADAAAAAAAAAASAAAADAAAAAEAAAAeAAAAGAAAAA4AAABhAAAAMgEAAHIAAAAlAAAADAAAAAEAAABUAAAAlAAAAA8AAABhAAAAVwAAAHEAAAABAAAAVVWPQSa0j0EPAAAAYQAAAAwAAABMAAAAAAAAAAAAAAAAAAAA//////////9kAAAAUwBhAGQAeQAgAFAAZQByAGUAaQByAGEABwAAAAcAAAAIAAAABgAAAAQAAAAHAAAABwAAAAUAAAAHAAAAAwAAAAUAAAAHAAAASwAAAEAAAAAwAAAABQAAACAAAAABAAAAAQAAABAAAAAAAAAAAAAAAEABAACgAAAAAAAAAAAAAABAAQAAoAAAACUAAAAMAAAAAgAAACcAAAAYAAAABQAAAAAAAAD///8AAAAAACUAAAAMAAAABQAAAEwAAABkAAAADgAAAHYAAAAxAQAAhgAAAA4AAAB2AAAAJAEAABEAAAAhAPAAAAAAAAAAAAAAAIA/AAAAAAAAAAAAAIA/AAAAAAAAAAAAAAAAAAAAAAAAAAAAAAAAAAAAAAAAAAAlAAAADAAAAAAAAIAoAAAADAAAAAUAAAAlAAAADAAAAAEAAAAYAAAADAAAAAAAAAASAAAADAAAAAEAAAAeAAAAGAAAAA4AAAB2AAAAMgEAAIcAAAAlAAAADAAAAAEAAABUAAAAhAAAAA8AAAB2AAAATAAAAIYAAAABAAAAVVWPQSa0j0EPAAAAdgAAAAkAAABMAAAAAAAAAAAAAAAAAAAA//////////9gAAAAQwBvAG4AdABhAGQAbwByAGEAEGcIAAAACAAAAAcAAAAEAAAABwAAAAgAAAAIAAAABQAAAAcAAABLAAAAQAAAADAAAAAFAAAAIAAAAAEAAAABAAAAEAAAAAAAAAAAAAAAQAEAAKAAAAAAAAAAAAAAAEABAACgAAAAJQAAAAwAAAACAAAAJwAAABgAAAAFAAAAAAAAAP///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JrSP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==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50FAB82A064840B3390B60CECA3841" ma:contentTypeVersion="0" ma:contentTypeDescription="Crear nuevo documento." ma:contentTypeScope="" ma:versionID="ec16e2391f7420f07c3c2cb95e35ae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d52eee179b4b7cb1aba1caaea387c4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CCF702-5004-4318-801C-E8809FA8513A}"/>
</file>

<file path=customXml/itemProps2.xml><?xml version="1.0" encoding="utf-8"?>
<ds:datastoreItem xmlns:ds="http://schemas.openxmlformats.org/officeDocument/2006/customXml" ds:itemID="{FA96207B-8558-4242-9BAE-2F6B0A142120}"/>
</file>

<file path=customXml/itemProps3.xml><?xml version="1.0" encoding="utf-8"?>
<ds:datastoreItem xmlns:ds="http://schemas.openxmlformats.org/officeDocument/2006/customXml" ds:itemID="{F05DC2AE-991E-4A03-89F3-0DB14C9FCF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1</vt:i4>
      </vt:variant>
    </vt:vector>
  </HeadingPairs>
  <TitlesOfParts>
    <vt:vector size="31" baseType="lpstr">
      <vt:lpstr>Balance Gral 2022</vt:lpstr>
      <vt:lpstr>EERR al 2022</vt:lpstr>
      <vt:lpstr>INDICE</vt:lpstr>
      <vt:lpstr>INFORMAC GRAL DE LA EMP</vt:lpstr>
      <vt:lpstr>BALANCE GRAL 31 12 22</vt:lpstr>
      <vt:lpstr>ESTADOS DE RESULTADOS 31 12 22</vt:lpstr>
      <vt:lpstr>Flujo de TP Calculo DIC</vt:lpstr>
      <vt:lpstr>FLUJO DE EFECTIVO 31 12 22</vt:lpstr>
      <vt:lpstr>ESTADO DE VARIAC PN 31 12 22</vt:lpstr>
      <vt:lpstr>NOTAS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ACREED VARIOS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11 INFORMACIONES</vt:lpstr>
      <vt:lpstr>'Flujo de TP Calculo DIC'!Área_de_impresión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Giuseppe</cp:lastModifiedBy>
  <cp:revision/>
  <dcterms:created xsi:type="dcterms:W3CDTF">2019-11-21T14:06:50Z</dcterms:created>
  <dcterms:modified xsi:type="dcterms:W3CDTF">2023-03-31T16:55:43Z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0x0101004B50FAB82A064840B3390B60CECA3841</vt:lpwstr>
  </property>
  <property fmtid="{D5CDD505-2E9C-101B-9397-08002B2CF9AE}" pid="3" name="Order">
    <vt:r8>900700</vt:r8>
  </property>
  <property fmtid="{D5CDD505-2E9C-101B-9397-08002B2CF9AE}" pid="4" name="xd_Signature">
    <vt:bool>false</vt:bool>
  </property>
  <property fmtid="{D5CDD505-2E9C-101B-9397-08002B2CF9AE}" pid="5" name="SharedWithUsers">
    <vt:lpwstr>57;#Integrantes de la CUMPLIMIENTO Y LEGALES</vt:lpwstr>
  </property>
  <property fmtid="{D5CDD505-2E9C-101B-9397-08002B2CF9AE}" pid="6" name="_ColorTag">
    <vt:lpwstr/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ColorHex">
    <vt:lpwstr/>
  </property>
  <property fmtid="{D5CDD505-2E9C-101B-9397-08002B2CF9AE}" pid="13" name="_Emoji">
    <vt:lpwstr/>
  </property>
  <property fmtid="{D5CDD505-2E9C-101B-9397-08002B2CF9AE}" pid="14" name="ComplianceAssetId">
    <vt:lpwstr/>
  </property>
  <property fmtid="{D5CDD505-2E9C-101B-9397-08002B2CF9AE}" pid="15" name="TemplateUrl">
    <vt:lpwstr/>
  </property>
</Properties>
</file>